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2"/>
  <workbookPr defaultThemeVersion="124226"/>
  <mc:AlternateContent xmlns:mc="http://schemas.openxmlformats.org/markup-compatibility/2006">
    <mc:Choice Requires="x15">
      <x15ac:absPath xmlns:x15ac="http://schemas.microsoft.com/office/spreadsheetml/2010/11/ac" url="C:\Users\Fiona\Dropbox\00000_EdResearcher LLC\Items for website\"/>
    </mc:Choice>
  </mc:AlternateContent>
  <xr:revisionPtr revIDLastSave="0" documentId="8_{5D93CC1C-2691-4E37-A79E-DF501A30386B}" xr6:coauthVersionLast="36" xr6:coauthVersionMax="36" xr10:uidLastSave="{00000000-0000-0000-0000-000000000000}"/>
  <bookViews>
    <workbookView xWindow="0" yWindow="186" windowWidth="19080" windowHeight="1812" tabRatio="900" xr2:uid="{00000000-000D-0000-FFFF-FFFF00000000}"/>
  </bookViews>
  <sheets>
    <sheet name="SIS Models CUA" sheetId="26" r:id="rId1"/>
  </sheets>
  <calcPr calcId="191029" concurrentCalc="0"/>
</workbook>
</file>

<file path=xl/calcChain.xml><?xml version="1.0" encoding="utf-8"?>
<calcChain xmlns="http://schemas.openxmlformats.org/spreadsheetml/2006/main">
  <c r="C25" i="26" l="1"/>
  <c r="F73" i="26"/>
  <c r="H86" i="26"/>
  <c r="H87" i="26"/>
  <c r="H88" i="26"/>
  <c r="H89" i="26"/>
  <c r="H90" i="26"/>
  <c r="F91" i="26"/>
  <c r="G91" i="26"/>
  <c r="H91" i="26"/>
  <c r="F92" i="26"/>
  <c r="G92" i="26"/>
  <c r="H92" i="26"/>
  <c r="F93" i="26"/>
  <c r="G93" i="26"/>
  <c r="H93" i="26"/>
  <c r="H94" i="26"/>
  <c r="I86" i="26"/>
  <c r="J86" i="26"/>
  <c r="K86" i="26"/>
  <c r="I87" i="26"/>
  <c r="J87" i="26"/>
  <c r="K87" i="26"/>
  <c r="I88" i="26"/>
  <c r="J88" i="26"/>
  <c r="K88" i="26"/>
  <c r="I89" i="26"/>
  <c r="J89" i="26"/>
  <c r="K89" i="26"/>
  <c r="I90" i="26"/>
  <c r="J90" i="26"/>
  <c r="K90" i="26"/>
  <c r="K91" i="26"/>
  <c r="K92" i="26"/>
  <c r="K93" i="26"/>
  <c r="K94" i="26"/>
  <c r="F94" i="26"/>
  <c r="I94" i="26"/>
  <c r="F97" i="26"/>
  <c r="D73" i="26"/>
  <c r="C73" i="26"/>
  <c r="E73" i="26"/>
  <c r="G73" i="26"/>
  <c r="H73" i="26"/>
  <c r="I73" i="26"/>
  <c r="J73" i="26"/>
  <c r="K73" i="26"/>
  <c r="L73" i="26"/>
  <c r="M73" i="26"/>
  <c r="N73" i="26"/>
  <c r="O73" i="26"/>
  <c r="P73" i="26"/>
  <c r="Q73" i="26"/>
  <c r="S73" i="26"/>
  <c r="W73" i="26"/>
  <c r="F74" i="26"/>
  <c r="L86" i="26"/>
  <c r="M86" i="26"/>
  <c r="N86" i="26"/>
  <c r="L87" i="26"/>
  <c r="M87" i="26"/>
  <c r="N87" i="26"/>
  <c r="N88" i="26"/>
  <c r="L89" i="26"/>
  <c r="M89" i="26"/>
  <c r="N89" i="26"/>
  <c r="N90" i="26"/>
  <c r="L91" i="26"/>
  <c r="M91" i="26"/>
  <c r="N91" i="26"/>
  <c r="L92" i="26"/>
  <c r="M92" i="26"/>
  <c r="N92" i="26"/>
  <c r="L93" i="26"/>
  <c r="M93" i="26"/>
  <c r="N93" i="26"/>
  <c r="N94" i="26"/>
  <c r="O86" i="26"/>
  <c r="P86" i="26"/>
  <c r="Q86" i="26"/>
  <c r="O87" i="26"/>
  <c r="P87" i="26"/>
  <c r="Q87" i="26"/>
  <c r="O88" i="26"/>
  <c r="P88" i="26"/>
  <c r="Q88" i="26"/>
  <c r="O89" i="26"/>
  <c r="P89" i="26"/>
  <c r="Q89" i="26"/>
  <c r="O90" i="26"/>
  <c r="P90" i="26"/>
  <c r="Q90" i="26"/>
  <c r="Q91" i="26"/>
  <c r="Q92" i="26"/>
  <c r="Q93" i="26"/>
  <c r="Q94" i="26"/>
  <c r="L94" i="26"/>
  <c r="O94" i="26"/>
  <c r="L97" i="26"/>
  <c r="D74" i="26"/>
  <c r="C74" i="26"/>
  <c r="E74" i="26"/>
  <c r="G74" i="26"/>
  <c r="H74" i="26"/>
  <c r="I74" i="26"/>
  <c r="J74" i="26"/>
  <c r="K74" i="26"/>
  <c r="L74" i="26"/>
  <c r="M74" i="26"/>
  <c r="N74" i="26"/>
  <c r="O74" i="26"/>
  <c r="P74" i="26"/>
  <c r="Q74" i="26"/>
  <c r="S74" i="26"/>
  <c r="W74" i="26"/>
  <c r="F76" i="26"/>
  <c r="R86" i="26"/>
  <c r="S86" i="26"/>
  <c r="T86" i="26"/>
  <c r="R87" i="26"/>
  <c r="S87" i="26"/>
  <c r="T87" i="26"/>
  <c r="T88" i="26"/>
  <c r="R89" i="26"/>
  <c r="S89" i="26"/>
  <c r="T89" i="26"/>
  <c r="R90" i="26"/>
  <c r="S90" i="26"/>
  <c r="T90" i="26"/>
  <c r="R91" i="26"/>
  <c r="S91" i="26"/>
  <c r="T91" i="26"/>
  <c r="R92" i="26"/>
  <c r="S92" i="26"/>
  <c r="T92" i="26"/>
  <c r="R93" i="26"/>
  <c r="S93" i="26"/>
  <c r="T93" i="26"/>
  <c r="T94" i="26"/>
  <c r="W86" i="26"/>
  <c r="W87" i="26"/>
  <c r="U88" i="26"/>
  <c r="V88" i="26"/>
  <c r="W88" i="26"/>
  <c r="W89" i="26"/>
  <c r="W90" i="26"/>
  <c r="W91" i="26"/>
  <c r="W92" i="26"/>
  <c r="W93" i="26"/>
  <c r="W94" i="26"/>
  <c r="R94" i="26"/>
  <c r="U94" i="26"/>
  <c r="R97" i="26"/>
  <c r="D76" i="26"/>
  <c r="C76" i="26"/>
  <c r="E76" i="26"/>
  <c r="G76" i="26"/>
  <c r="H76" i="26"/>
  <c r="I76" i="26"/>
  <c r="J76" i="26"/>
  <c r="K76" i="26"/>
  <c r="L76" i="26"/>
  <c r="M76" i="26"/>
  <c r="N76" i="26"/>
  <c r="O76" i="26"/>
  <c r="P76" i="26"/>
  <c r="Q76" i="26"/>
  <c r="S76" i="26"/>
  <c r="W76" i="26"/>
  <c r="F77" i="26"/>
  <c r="D77" i="26"/>
  <c r="C77" i="26"/>
  <c r="E77" i="26"/>
  <c r="G77" i="26"/>
  <c r="H77" i="26"/>
  <c r="I77" i="26"/>
  <c r="J77" i="26"/>
  <c r="K77" i="26"/>
  <c r="L77" i="26"/>
  <c r="M77" i="26"/>
  <c r="N77" i="26"/>
  <c r="O77" i="26"/>
  <c r="P77" i="26"/>
  <c r="Q77" i="26"/>
  <c r="S77" i="26"/>
  <c r="W77" i="26"/>
  <c r="D72" i="26"/>
  <c r="F72" i="26"/>
  <c r="G72" i="26"/>
  <c r="H72" i="26"/>
  <c r="I72" i="26"/>
  <c r="J72" i="26"/>
  <c r="K72" i="26"/>
  <c r="L72" i="26"/>
  <c r="M72" i="26"/>
  <c r="N72" i="26"/>
  <c r="O72" i="26"/>
  <c r="P72" i="26"/>
  <c r="Q72" i="26"/>
  <c r="S72" i="26"/>
  <c r="W72" i="26"/>
  <c r="D75" i="26"/>
  <c r="C75" i="26"/>
  <c r="E75" i="26"/>
  <c r="F75" i="26"/>
  <c r="G75" i="26"/>
  <c r="H75" i="26"/>
  <c r="I75" i="26"/>
  <c r="J75" i="26"/>
  <c r="K75" i="26"/>
  <c r="L75" i="26"/>
  <c r="M75" i="26"/>
  <c r="N75" i="26"/>
  <c r="O75" i="26"/>
  <c r="P75" i="26"/>
  <c r="Q75" i="26"/>
  <c r="S75" i="26"/>
  <c r="W75" i="26"/>
  <c r="X72" i="26"/>
  <c r="F40" i="26"/>
  <c r="T49" i="26"/>
  <c r="R50" i="26"/>
  <c r="S50" i="26"/>
  <c r="T50" i="26"/>
  <c r="R51" i="26"/>
  <c r="S51" i="26"/>
  <c r="T51" i="26"/>
  <c r="R52" i="26"/>
  <c r="S52" i="26"/>
  <c r="T52" i="26"/>
  <c r="R53" i="26"/>
  <c r="S53" i="26"/>
  <c r="T53" i="26"/>
  <c r="R54" i="26"/>
  <c r="S54" i="26"/>
  <c r="T54" i="26"/>
  <c r="R55" i="26"/>
  <c r="S55" i="26"/>
  <c r="T55" i="26"/>
  <c r="R56" i="26"/>
  <c r="S56" i="26"/>
  <c r="T56" i="26"/>
  <c r="T57" i="26"/>
  <c r="U49" i="26"/>
  <c r="V49" i="26"/>
  <c r="W49" i="26"/>
  <c r="W50" i="26"/>
  <c r="W51" i="26"/>
  <c r="W52" i="26"/>
  <c r="W53" i="26"/>
  <c r="W54" i="26"/>
  <c r="W55" i="26"/>
  <c r="W56" i="26"/>
  <c r="W57" i="26"/>
  <c r="R57" i="26"/>
  <c r="U57" i="26"/>
  <c r="R60" i="26"/>
  <c r="D40" i="26"/>
  <c r="C40" i="26"/>
  <c r="E40" i="26"/>
  <c r="G40" i="26"/>
  <c r="R40" i="26"/>
  <c r="U40" i="26"/>
  <c r="F36" i="26"/>
  <c r="H49" i="26"/>
  <c r="H50" i="26"/>
  <c r="H51" i="26"/>
  <c r="H52" i="26"/>
  <c r="H53" i="26"/>
  <c r="F54" i="26"/>
  <c r="G54" i="26"/>
  <c r="H54" i="26"/>
  <c r="F55" i="26"/>
  <c r="G55" i="26"/>
  <c r="H55" i="26"/>
  <c r="F56" i="26"/>
  <c r="G56" i="26"/>
  <c r="H56" i="26"/>
  <c r="H57" i="26"/>
  <c r="I49" i="26"/>
  <c r="J49" i="26"/>
  <c r="K49" i="26"/>
  <c r="I50" i="26"/>
  <c r="J50" i="26"/>
  <c r="K50" i="26"/>
  <c r="I51" i="26"/>
  <c r="J51" i="26"/>
  <c r="K51" i="26"/>
  <c r="I52" i="26"/>
  <c r="J52" i="26"/>
  <c r="K52" i="26"/>
  <c r="I53" i="26"/>
  <c r="J53" i="26"/>
  <c r="K53" i="26"/>
  <c r="K54" i="26"/>
  <c r="K55" i="26"/>
  <c r="K56" i="26"/>
  <c r="K57" i="26"/>
  <c r="F57" i="26"/>
  <c r="I57" i="26"/>
  <c r="F60" i="26"/>
  <c r="D36" i="26"/>
  <c r="C36" i="26"/>
  <c r="E36" i="26"/>
  <c r="G36" i="26"/>
  <c r="H36" i="26"/>
  <c r="I36" i="26"/>
  <c r="J36" i="26"/>
  <c r="K36" i="26"/>
  <c r="L36" i="26"/>
  <c r="M36" i="26"/>
  <c r="N36" i="26"/>
  <c r="O36" i="26"/>
  <c r="P36" i="26"/>
  <c r="Q36" i="26"/>
  <c r="S36" i="26"/>
  <c r="W36" i="26"/>
  <c r="F37" i="26"/>
  <c r="N49" i="26"/>
  <c r="L50" i="26"/>
  <c r="M50" i="26"/>
  <c r="N50" i="26"/>
  <c r="L51" i="26"/>
  <c r="M51" i="26"/>
  <c r="N51" i="26"/>
  <c r="L52" i="26"/>
  <c r="M52" i="26"/>
  <c r="N52" i="26"/>
  <c r="N53" i="26"/>
  <c r="L54" i="26"/>
  <c r="M54" i="26"/>
  <c r="N54" i="26"/>
  <c r="L55" i="26"/>
  <c r="M55" i="26"/>
  <c r="N55" i="26"/>
  <c r="L56" i="26"/>
  <c r="M56" i="26"/>
  <c r="N56" i="26"/>
  <c r="N57" i="26"/>
  <c r="O49" i="26"/>
  <c r="P49" i="26"/>
  <c r="Q49" i="26"/>
  <c r="O50" i="26"/>
  <c r="P50" i="26"/>
  <c r="Q50" i="26"/>
  <c r="O51" i="26"/>
  <c r="P51" i="26"/>
  <c r="Q51" i="26"/>
  <c r="O52" i="26"/>
  <c r="P52" i="26"/>
  <c r="Q52" i="26"/>
  <c r="O53" i="26"/>
  <c r="P53" i="26"/>
  <c r="Q53" i="26"/>
  <c r="Q54" i="26"/>
  <c r="Q55" i="26"/>
  <c r="Q56" i="26"/>
  <c r="Q57" i="26"/>
  <c r="L57" i="26"/>
  <c r="O57" i="26"/>
  <c r="L60" i="26"/>
  <c r="D37" i="26"/>
  <c r="C37" i="26"/>
  <c r="E37" i="26"/>
  <c r="G37" i="26"/>
  <c r="H37" i="26"/>
  <c r="I37" i="26"/>
  <c r="J37" i="26"/>
  <c r="K37" i="26"/>
  <c r="L37" i="26"/>
  <c r="M37" i="26"/>
  <c r="N37" i="26"/>
  <c r="O37" i="26"/>
  <c r="P37" i="26"/>
  <c r="Q37" i="26"/>
  <c r="S37" i="26"/>
  <c r="W37" i="26"/>
  <c r="F39" i="26"/>
  <c r="D39" i="26"/>
  <c r="C39" i="26"/>
  <c r="E39" i="26"/>
  <c r="G39" i="26"/>
  <c r="H39" i="26"/>
  <c r="I39" i="26"/>
  <c r="J39" i="26"/>
  <c r="K39" i="26"/>
  <c r="L39" i="26"/>
  <c r="M39" i="26"/>
  <c r="N39" i="26"/>
  <c r="O39" i="26"/>
  <c r="P39" i="26"/>
  <c r="Q39" i="26"/>
  <c r="S39" i="26"/>
  <c r="W39" i="26"/>
  <c r="H40" i="26"/>
  <c r="I40" i="26"/>
  <c r="J40" i="26"/>
  <c r="K40" i="26"/>
  <c r="L40" i="26"/>
  <c r="M40" i="26"/>
  <c r="N40" i="26"/>
  <c r="O40" i="26"/>
  <c r="P40" i="26"/>
  <c r="Q40" i="26"/>
  <c r="S40" i="26"/>
  <c r="W40" i="26"/>
  <c r="R39" i="26"/>
  <c r="U39" i="26"/>
  <c r="R37" i="26"/>
  <c r="U37" i="26"/>
  <c r="R36" i="26"/>
  <c r="U36" i="26"/>
  <c r="F38" i="26"/>
  <c r="F35" i="26"/>
  <c r="X77" i="26"/>
  <c r="X76" i="26"/>
  <c r="X75" i="26"/>
  <c r="X74" i="26"/>
  <c r="X73" i="26"/>
  <c r="D35" i="26"/>
  <c r="G35" i="26"/>
  <c r="H35" i="26"/>
  <c r="I35" i="26"/>
  <c r="J35" i="26"/>
  <c r="K35" i="26"/>
  <c r="L35" i="26"/>
  <c r="M35" i="26"/>
  <c r="N35" i="26"/>
  <c r="O35" i="26"/>
  <c r="P35" i="26"/>
  <c r="Q35" i="26"/>
  <c r="S35" i="26"/>
  <c r="W35" i="26"/>
  <c r="D38" i="26"/>
  <c r="C38" i="26"/>
  <c r="E38" i="26"/>
  <c r="G38" i="26"/>
  <c r="H38" i="26"/>
  <c r="I38" i="26"/>
  <c r="J38" i="26"/>
  <c r="K38" i="26"/>
  <c r="L38" i="26"/>
  <c r="M38" i="26"/>
  <c r="N38" i="26"/>
  <c r="O38" i="26"/>
  <c r="P38" i="26"/>
  <c r="Q38" i="26"/>
  <c r="S38" i="26"/>
  <c r="W38" i="26"/>
  <c r="X40" i="26"/>
  <c r="X39" i="26"/>
  <c r="X38" i="26"/>
  <c r="X37" i="26"/>
  <c r="X36" i="26"/>
  <c r="X35" i="26"/>
  <c r="R74" i="26"/>
  <c r="U74" i="26"/>
  <c r="R73" i="26"/>
  <c r="U73" i="26"/>
  <c r="R72" i="26"/>
  <c r="U72" i="26"/>
  <c r="R75" i="26"/>
  <c r="U75" i="26"/>
  <c r="R76" i="26"/>
  <c r="U76" i="26"/>
  <c r="R77" i="26"/>
  <c r="U77" i="26"/>
  <c r="V73" i="26"/>
  <c r="V74" i="26"/>
  <c r="V75" i="26"/>
  <c r="V76" i="26"/>
  <c r="V77" i="26"/>
  <c r="V72" i="26"/>
  <c r="C57" i="26"/>
  <c r="E57" i="26"/>
  <c r="D49" i="26"/>
  <c r="D50" i="26"/>
  <c r="D51" i="26"/>
  <c r="D52" i="26"/>
  <c r="D53" i="26"/>
  <c r="D54" i="26"/>
  <c r="D55" i="26"/>
  <c r="D56" i="26"/>
  <c r="D57" i="26"/>
  <c r="R38" i="26"/>
  <c r="U38" i="26"/>
  <c r="R35" i="26"/>
  <c r="U35" i="26"/>
  <c r="V36" i="26"/>
  <c r="V37" i="26"/>
  <c r="V38" i="26"/>
  <c r="V39" i="26"/>
  <c r="V40" i="26"/>
  <c r="V35" i="26"/>
  <c r="C94" i="26"/>
  <c r="E94" i="26"/>
  <c r="D86" i="26"/>
  <c r="D87" i="26"/>
  <c r="D88" i="26"/>
  <c r="D89" i="26"/>
  <c r="D90" i="26"/>
  <c r="D91" i="26"/>
  <c r="D92" i="26"/>
  <c r="D93" i="26"/>
  <c r="D94" i="26"/>
</calcChain>
</file>

<file path=xl/sharedStrings.xml><?xml version="1.0" encoding="utf-8"?>
<sst xmlns="http://schemas.openxmlformats.org/spreadsheetml/2006/main" count="194" uniqueCount="106">
  <si>
    <t>PowerSchool</t>
  </si>
  <si>
    <t>Skyward</t>
  </si>
  <si>
    <t>Total</t>
  </si>
  <si>
    <t>Infinite Campus</t>
  </si>
  <si>
    <t>Assumption</t>
  </si>
  <si>
    <t>Student Information System (SIS)</t>
  </si>
  <si>
    <t>#</t>
  </si>
  <si>
    <t>%</t>
  </si>
  <si>
    <t>Go.edustar</t>
  </si>
  <si>
    <t>Synergy</t>
  </si>
  <si>
    <t>Schoolmaster</t>
  </si>
  <si>
    <t>PRO/STAR</t>
  </si>
  <si>
    <t>SASI/Pearson</t>
  </si>
  <si>
    <t>Number of Switchers</t>
  </si>
  <si>
    <t>Average cost per student for switchers</t>
  </si>
  <si>
    <t>Number of non-switchers</t>
  </si>
  <si>
    <t>Average cost per student for non-switchers</t>
  </si>
  <si>
    <t>Average cost per student under current model</t>
  </si>
  <si>
    <t>Utility (Ratings from districts)</t>
  </si>
  <si>
    <t>Maintain current system: districts choose own SIS vendors, hosting is local, no central data store</t>
  </si>
  <si>
    <t>Districts choose own SIS vendors, hosting is local but each SIS must connect to a central data store</t>
  </si>
  <si>
    <t>Districts choose own SIS vendors or a state-contracted vendor, hosting is local but each SIS must connect to a central data store</t>
  </si>
  <si>
    <t>Single state-selected vendor, local hosting, manual uploads, no central data store to which districts must connect</t>
  </si>
  <si>
    <t>Single state-selected vendor, local hosting, central data store to which all districts connect</t>
  </si>
  <si>
    <t xml:space="preserve">Single state-selected vendor, central hosting
</t>
  </si>
  <si>
    <t>Source of information</t>
  </si>
  <si>
    <t xml:space="preserve">Current average annual base license fees per student </t>
  </si>
  <si>
    <t>Predicted average annual base license fees per student for statewide vendor if ALL districts switch</t>
  </si>
  <si>
    <t>Predicted average annual base license fees per student for statewide vendor if switching is OPTIONAL</t>
  </si>
  <si>
    <t>Number of students in Kansas</t>
  </si>
  <si>
    <t>Superintendent's Survey in October 2017</t>
  </si>
  <si>
    <t>Under Model 2, annual base license fee for 3 districts that switch to PowerSchool</t>
  </si>
  <si>
    <t>Under Model 2, annual base license fee for 3 districts that switch to Skyward</t>
  </si>
  <si>
    <t>Average for PowerSchool users reported in March 2018 SIS Survey</t>
  </si>
  <si>
    <t>Average for Skyward users reported in March 2018 SIS Survey</t>
  </si>
  <si>
    <t>Note that we calculate the costs incurred by districts that must switch and then spread the costs across all students in the state</t>
  </si>
  <si>
    <t>Value</t>
  </si>
  <si>
    <t>Costs per student of training, migration, buy-in (switchers only)</t>
  </si>
  <si>
    <t>Cost per hour of district personnel time including fringe</t>
  </si>
  <si>
    <t>% of personnel time for uploading data to KSDE that will translate to actual dollar savings</t>
  </si>
  <si>
    <t>Inflation for personnel time</t>
  </si>
  <si>
    <t>Inflation for technology</t>
  </si>
  <si>
    <t>Total cost for switchers</t>
  </si>
  <si>
    <t>Total cost for non-switchers</t>
  </si>
  <si>
    <t>Average cost per student for Model 2</t>
  </si>
  <si>
    <t>Average cost per student for Model 3</t>
  </si>
  <si>
    <t>Average cost per student for Model 4-6</t>
  </si>
  <si>
    <t>Year number</t>
  </si>
  <si>
    <t>Synergy is only used by 3 large districts and we assume none switch unless mandated as in models 4-6</t>
  </si>
  <si>
    <t>Assume all these switch to PowerSchool or Skyward in all Models except current model (1)</t>
  </si>
  <si>
    <t>SIS Implementation Model</t>
  </si>
  <si>
    <t>Total for 10 years
per student</t>
  </si>
  <si>
    <t>Total for Year 1 
Whole state  ($mm)</t>
  </si>
  <si>
    <t>Total for 10 years 
Whole state  ($mm)</t>
  </si>
  <si>
    <t>Year 1
ROI Ranking</t>
  </si>
  <si>
    <t>Year 10
ROI Ranking</t>
  </si>
  <si>
    <t>Year 1
Cost-utility ratio</t>
  </si>
  <si>
    <t>Year 10
Cost-utility ratio</t>
  </si>
  <si>
    <t>Calculated from number of hours reported by districts in March 2018 SIS Survey</t>
  </si>
  <si>
    <t>User should enter here the rate by which personnel costs (salary + fringe) are expected to change per year</t>
  </si>
  <si>
    <t>Costs of technology do not usually vary in line with inflation and at times decrease from year to year. User should enter the rate by which their base SIS license costs are expected to change per year, it at all.  If no change is expected, enter 0.</t>
  </si>
  <si>
    <t>User should consider to what extent personnel costs can be reduced in models where a central data store or centrally hosted SIS will eliminate the need for manual data uploads to KSDE.</t>
  </si>
  <si>
    <t>Based on average per student cost paid by largest KS district as reported in March 2018 SIS Survey</t>
  </si>
  <si>
    <t>Based on average per student cost paid by NC for a statewide SIS</t>
  </si>
  <si>
    <t>Model 2: Districts choose own SIS vendors, hosting is local but each SIS must connect to a central data store</t>
  </si>
  <si>
    <t>Model 3: Districts choose own SIS vendors or a state-contracted vendor, hosting is local but each SIS must connect to a central data store</t>
  </si>
  <si>
    <t>Models 4-6: Mandated switch to state-contracted vendor</t>
  </si>
  <si>
    <t>Current PowerSchool users do not switch but still benefit from lower license costs</t>
  </si>
  <si>
    <t>Costs and Savings of 6 SIS Implementation Models in Kansas</t>
  </si>
  <si>
    <t>Numbers and % of KS students currently using each SIS vendor</t>
  </si>
  <si>
    <t>Source: Supt. survey 11/17</t>
  </si>
  <si>
    <t>Table 5: Calculating the base license costs per student under the new SIS models based on how many will switch from each currently used vendor to Skyward</t>
  </si>
  <si>
    <t>Table 3: Calculating the base license costs per student under the new SIS models based on how many will switch from each currently used vendor to PowerSchool</t>
  </si>
  <si>
    <t>Current Skyward users do not switch but still benefit from lower license costs</t>
  </si>
  <si>
    <t>If switching to statewide vendor is optional, percentage of students switching from Infinite Campus, Go.edustar and either PowerSchool or Skyward (whichever is not selected at statewide vendor)</t>
  </si>
  <si>
    <r>
      <t xml:space="preserve">Hours per student </t>
    </r>
    <r>
      <rPr>
        <u/>
        <sz val="11"/>
        <rFont val="Calibri"/>
        <family val="2"/>
        <scheme val="minor"/>
      </rPr>
      <t>per year</t>
    </r>
    <r>
      <rPr>
        <sz val="11"/>
        <rFont val="Calibri"/>
        <family val="2"/>
        <scheme val="minor"/>
      </rPr>
      <t xml:space="preserve"> of district personnel time to upload data to KSDE</t>
    </r>
  </si>
  <si>
    <t>Table 1: Assumptions</t>
  </si>
  <si>
    <t>KSDE CIO and district personnel estimate</t>
  </si>
  <si>
    <t>Calculated from KSDE district interviews, interviews with North Carolina and Nebraska SEA CIOs and the March 2018 SIS survey</t>
  </si>
  <si>
    <t>Assuming $33.64/hr for Database and Systems Administrators and 53.37% fringe benefits (using national average rates published by Bureau of Labor Statistics)</t>
  </si>
  <si>
    <t>It can be used to estimate the costs and savings to Kansas districts of changing the SIS implementation model from the current system in which each district chooses its own vendor and uploads data manually to KSDE.</t>
  </si>
  <si>
    <t>Table 1: Users should review the assumptions in Table 1 and vary the values in the white cells as needed to see how different assumptions affect the results.</t>
  </si>
  <si>
    <t xml:space="preserve">Table 5 shows the numbers of students using each vendor, how many students are expected to switch to Skyward, and the base license costs assumed for each vendor under each model.  Users may change any values that are not formulas and the changes will be reflected in the costs and savings in Table 4. </t>
  </si>
  <si>
    <t xml:space="preserve">Table 3 shows the numbers of students using each vendor, how many students are expected to switch to PowerSchool, and the base license costs assumed for each vendor under each model.  Users may change any values that are not formulas and the changes will be reflected in the costs and savings in Table 2. </t>
  </si>
  <si>
    <t>Start-up fees for switchers are calculated as a percentage of their new base license fees. Only the switchers will pay this so formula is (number of students switching *(Expected base license fee per student/0.15)) and then divide by 489,958 to spread across all students</t>
  </si>
  <si>
    <t>Estimate (note that we assume none of the 3 districts using Synergy will switch voluntarily as these districts are large and unlikely to want to switch given the associated upheaval)</t>
  </si>
  <si>
    <t>Start-up fees for switchers
Year 1 only</t>
  </si>
  <si>
    <t>Annual license fee
per year</t>
  </si>
  <si>
    <t>Training, migration, buy-in costs 
Year 1</t>
  </si>
  <si>
    <t>Personnel costs to upload data
per year</t>
  </si>
  <si>
    <t>Total
Yr 2</t>
  </si>
  <si>
    <t>Total
Yr 3</t>
  </si>
  <si>
    <t>Total
Yr 4</t>
  </si>
  <si>
    <t>Total
Yr 5</t>
  </si>
  <si>
    <t>Total
Yr 6</t>
  </si>
  <si>
    <t>Total
Yr 7</t>
  </si>
  <si>
    <t>Total
Yr 8</t>
  </si>
  <si>
    <t>Total 
Yr 9</t>
  </si>
  <si>
    <t>Total
Yr 10</t>
  </si>
  <si>
    <t>Total per student
Yr 1</t>
  </si>
  <si>
    <t>Table 2: Per Student Costs of SIS Implementation Models Assuming that, in Models with a Statewide Vendor, PowerSchool is selected</t>
  </si>
  <si>
    <t>Table 4: Per Student Costs of SIS Implementation Models Assuming that, in Models with a Statewide Vendor, Skyward is selected</t>
  </si>
  <si>
    <t>Table 4 shows costs of SIS implementation models assuming that, in models with a statewide vendor, Skyward is selected. Users should not change values in this table as all cells  are formulas keyed to Tables 1 and 5.</t>
  </si>
  <si>
    <t>Table 2 shows costs of SIS implementation models assuming that, in models with a statewide vendor, PowerSchool is selected. Users should not change any values in this table as all cells contain formulas, many of these keyed to Tables 1 and 3.</t>
  </si>
  <si>
    <t>Average reported in Supertindent's Survey in October 2017, unreliable data adjusted based on March 2018 SIS Survey</t>
  </si>
  <si>
    <r>
      <t xml:space="preserve">This spreadsheet accompanies the report: </t>
    </r>
    <r>
      <rPr>
        <i/>
        <sz val="14"/>
        <rFont val="Calibri"/>
        <family val="2"/>
        <scheme val="minor"/>
      </rPr>
      <t xml:space="preserve">Cost-utility Analysis of Student Information System Implementation Models </t>
    </r>
    <r>
      <rPr>
        <sz val="14"/>
        <rFont val="Calibri"/>
        <family val="2"/>
        <scheme val="minor"/>
      </rPr>
      <t xml:space="preserve">(December 2018).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</si>
</sst>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quot;$&quot;* #,##0.0_);_(&quot;$&quot;* \(#,##0.0\);_(&quot;$&quot;* &quot;-&quot;??_);_(@_)"/>
  </numFmts>
  <fonts count="15"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b/>
      <sz val="14"/>
      <color theme="1"/>
      <name val="Calibri"/>
      <family val="2"/>
      <scheme val="minor"/>
    </font>
    <font>
      <sz val="14"/>
      <color theme="1"/>
      <name val="Calibri"/>
      <family val="2"/>
      <scheme val="minor"/>
    </font>
    <font>
      <b/>
      <sz val="18"/>
      <color theme="1"/>
      <name val="Calibri"/>
      <family val="2"/>
      <scheme val="minor"/>
    </font>
    <font>
      <sz val="11"/>
      <color theme="1"/>
      <name val="Calibri"/>
      <family val="2"/>
      <scheme val="minor"/>
    </font>
    <font>
      <i/>
      <sz val="11"/>
      <color theme="1"/>
      <name val="Calibri"/>
      <family val="2"/>
      <scheme val="minor"/>
    </font>
    <font>
      <sz val="11"/>
      <color rgb="FFFFFF00"/>
      <name val="Calibri"/>
      <family val="2"/>
      <scheme val="minor"/>
    </font>
    <font>
      <u/>
      <sz val="11"/>
      <name val="Calibri"/>
      <family val="2"/>
      <scheme val="minor"/>
    </font>
    <font>
      <i/>
      <sz val="16"/>
      <color theme="1"/>
      <name val="Calibri"/>
      <family val="2"/>
      <scheme val="minor"/>
    </font>
    <font>
      <b/>
      <sz val="14"/>
      <name val="Calibri"/>
      <family val="2"/>
      <scheme val="minor"/>
    </font>
    <font>
      <sz val="14"/>
      <name val="Calibri"/>
      <family val="2"/>
      <scheme val="minor"/>
    </font>
    <font>
      <i/>
      <sz val="14"/>
      <name val="Calibri"/>
      <family val="2"/>
      <scheme val="minor"/>
    </font>
  </fonts>
  <fills count="13">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6" tint="-0.249977111117893"/>
        <bgColor indexed="64"/>
      </patternFill>
    </fill>
    <fill>
      <patternFill patternType="solid">
        <fgColor theme="7" tint="0.39997558519241921"/>
        <bgColor indexed="64"/>
      </patternFill>
    </fill>
    <fill>
      <patternFill patternType="solid">
        <fgColor theme="8" tint="-0.249977111117893"/>
        <bgColor indexed="64"/>
      </patternFill>
    </fill>
  </fills>
  <borders count="18">
    <border>
      <left/>
      <right/>
      <top/>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s>
  <cellStyleXfs count="4">
    <xf numFmtId="0" fontId="0"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cellStyleXfs>
  <cellXfs count="214">
    <xf numFmtId="0" fontId="0" fillId="0" borderId="0" xfId="0"/>
    <xf numFmtId="0" fontId="0" fillId="0" borderId="0" xfId="0" applyAlignment="1">
      <alignment wrapText="1"/>
    </xf>
    <xf numFmtId="0" fontId="0" fillId="0" borderId="2" xfId="0" applyBorder="1"/>
    <xf numFmtId="0" fontId="0" fillId="0" borderId="0" xfId="0" applyBorder="1"/>
    <xf numFmtId="0" fontId="0" fillId="2" borderId="8" xfId="0" applyFill="1" applyBorder="1" applyAlignment="1">
      <alignment horizontal="center" vertical="center" wrapText="1"/>
    </xf>
    <xf numFmtId="0" fontId="1" fillId="2" borderId="0" xfId="0" applyFont="1" applyFill="1" applyAlignment="1">
      <alignment horizontal="center" vertical="center" wrapText="1"/>
    </xf>
    <xf numFmtId="0" fontId="0" fillId="4" borderId="0" xfId="0" applyFill="1" applyAlignment="1">
      <alignment wrapText="1"/>
    </xf>
    <xf numFmtId="0" fontId="1" fillId="0" borderId="0" xfId="0" applyFont="1"/>
    <xf numFmtId="0" fontId="8" fillId="0" borderId="0" xfId="0" applyFont="1"/>
    <xf numFmtId="0" fontId="0" fillId="0" borderId="0" xfId="0" applyFill="1"/>
    <xf numFmtId="1" fontId="0" fillId="0" borderId="0" xfId="0" applyNumberFormat="1" applyBorder="1"/>
    <xf numFmtId="44" fontId="0" fillId="0" borderId="0" xfId="0" applyNumberFormat="1" applyBorder="1"/>
    <xf numFmtId="44" fontId="0" fillId="0" borderId="3" xfId="0" applyNumberFormat="1" applyBorder="1"/>
    <xf numFmtId="44" fontId="0" fillId="0" borderId="0" xfId="0" applyNumberFormat="1"/>
    <xf numFmtId="44" fontId="0" fillId="2" borderId="0" xfId="0" applyNumberFormat="1" applyFill="1"/>
    <xf numFmtId="0" fontId="4" fillId="0" borderId="0" xfId="0" applyFont="1"/>
    <xf numFmtId="1" fontId="0" fillId="0" borderId="0" xfId="0" applyNumberFormat="1"/>
    <xf numFmtId="9" fontId="0" fillId="0" borderId="0" xfId="3" applyFont="1" applyBorder="1"/>
    <xf numFmtId="0" fontId="2" fillId="0" borderId="0" xfId="0" applyFont="1"/>
    <xf numFmtId="0" fontId="0" fillId="2" borderId="0" xfId="0" applyFill="1"/>
    <xf numFmtId="1" fontId="0" fillId="0" borderId="2" xfId="0" applyNumberFormat="1" applyBorder="1"/>
    <xf numFmtId="44" fontId="0" fillId="0" borderId="0" xfId="2" applyFont="1"/>
    <xf numFmtId="0" fontId="1" fillId="2" borderId="0" xfId="0" applyFont="1" applyFill="1"/>
    <xf numFmtId="44" fontId="0" fillId="2" borderId="0" xfId="2" applyFont="1" applyFill="1"/>
    <xf numFmtId="44" fontId="0" fillId="4" borderId="0" xfId="2" applyFont="1" applyFill="1"/>
    <xf numFmtId="0" fontId="0" fillId="7" borderId="0" xfId="0" applyFill="1"/>
    <xf numFmtId="44" fontId="0" fillId="7" borderId="0" xfId="2" applyFont="1" applyFill="1"/>
    <xf numFmtId="0" fontId="0" fillId="0" borderId="0" xfId="0" applyAlignment="1">
      <alignment horizontal="center" vertical="center"/>
    </xf>
    <xf numFmtId="44" fontId="0" fillId="0" borderId="0" xfId="0" applyNumberFormat="1" applyFill="1" applyBorder="1"/>
    <xf numFmtId="0" fontId="0" fillId="0" borderId="2" xfId="0" applyFill="1" applyBorder="1"/>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165" fontId="0" fillId="0" borderId="3" xfId="0" applyNumberFormat="1" applyBorder="1"/>
    <xf numFmtId="0" fontId="0" fillId="4" borderId="7" xfId="0" applyFill="1" applyBorder="1" applyAlignment="1">
      <alignment horizontal="center" vertical="center" wrapText="1"/>
    </xf>
    <xf numFmtId="0" fontId="0" fillId="4" borderId="9" xfId="0" applyFill="1" applyBorder="1" applyAlignment="1">
      <alignment horizontal="center" vertical="center" wrapText="1"/>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0" fontId="0" fillId="6" borderId="7" xfId="0" applyFill="1" applyBorder="1"/>
    <xf numFmtId="165" fontId="0" fillId="6" borderId="9" xfId="0" applyNumberFormat="1" applyFill="1" applyBorder="1"/>
    <xf numFmtId="1" fontId="0" fillId="6" borderId="7" xfId="0" applyNumberFormat="1" applyFill="1" applyBorder="1"/>
    <xf numFmtId="44" fontId="0" fillId="6" borderId="7" xfId="0" applyNumberFormat="1" applyFill="1" applyBorder="1"/>
    <xf numFmtId="1" fontId="0" fillId="6" borderId="8" xfId="0" applyNumberFormat="1" applyFill="1" applyBorder="1"/>
    <xf numFmtId="0" fontId="1" fillId="4" borderId="0" xfId="0" applyFont="1" applyFill="1"/>
    <xf numFmtId="44" fontId="0" fillId="4" borderId="0" xfId="0" applyNumberFormat="1" applyFill="1"/>
    <xf numFmtId="44" fontId="9" fillId="0" borderId="0" xfId="2" applyFont="1" applyFill="1"/>
    <xf numFmtId="0" fontId="0" fillId="9" borderId="0" xfId="0" applyFill="1" applyAlignment="1">
      <alignment wrapText="1"/>
    </xf>
    <xf numFmtId="0" fontId="0" fillId="9" borderId="0" xfId="0" applyFill="1"/>
    <xf numFmtId="0" fontId="1" fillId="0" borderId="0" xfId="0" applyFont="1" applyAlignment="1">
      <alignment horizontal="center"/>
    </xf>
    <xf numFmtId="0" fontId="1" fillId="0" borderId="0" xfId="0" applyFont="1" applyAlignment="1">
      <alignment horizontal="center" wrapText="1"/>
    </xf>
    <xf numFmtId="0" fontId="0" fillId="4" borderId="13"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12" xfId="0" applyFill="1" applyBorder="1" applyAlignment="1">
      <alignment horizontal="center" vertical="center" wrapText="1"/>
    </xf>
    <xf numFmtId="165" fontId="0" fillId="0" borderId="10" xfId="0" applyNumberFormat="1" applyBorder="1"/>
    <xf numFmtId="165" fontId="0" fillId="6" borderId="17" xfId="0" applyNumberFormat="1" applyFill="1" applyBorder="1"/>
    <xf numFmtId="0" fontId="0" fillId="2" borderId="13"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44" fontId="0" fillId="2" borderId="0" xfId="2" applyNumberFormat="1" applyFont="1" applyFill="1"/>
    <xf numFmtId="0" fontId="1" fillId="7" borderId="0" xfId="0" applyFont="1" applyFill="1" applyAlignment="1">
      <alignment horizontal="center" vertical="center" wrapText="1"/>
    </xf>
    <xf numFmtId="0" fontId="1" fillId="0" borderId="0" xfId="0" applyFont="1" applyAlignment="1">
      <alignment horizontal="center" vertical="center"/>
    </xf>
    <xf numFmtId="44" fontId="0" fillId="5" borderId="0" xfId="2" applyFont="1" applyFill="1"/>
    <xf numFmtId="44" fontId="0" fillId="5" borderId="0" xfId="2" applyNumberFormat="1" applyFont="1" applyFill="1"/>
    <xf numFmtId="44" fontId="3" fillId="7" borderId="0" xfId="2" applyFont="1" applyFill="1"/>
    <xf numFmtId="0" fontId="0" fillId="7" borderId="0" xfId="0" applyFill="1" applyAlignment="1">
      <alignment horizontal="center" vertical="center"/>
    </xf>
    <xf numFmtId="0" fontId="1" fillId="3" borderId="0" xfId="0" applyFont="1" applyFill="1" applyAlignment="1">
      <alignment horizontal="center" vertical="center" wrapText="1"/>
    </xf>
    <xf numFmtId="0" fontId="1" fillId="10" borderId="0" xfId="0" applyFont="1" applyFill="1" applyAlignment="1">
      <alignment horizontal="center" vertical="center" wrapText="1"/>
    </xf>
    <xf numFmtId="0" fontId="1" fillId="4" borderId="0" xfId="0" applyFont="1" applyFill="1" applyAlignment="1">
      <alignment horizontal="center" vertical="center" wrapText="1"/>
    </xf>
    <xf numFmtId="9" fontId="1" fillId="0" borderId="0" xfId="0" applyNumberFormat="1" applyFont="1" applyAlignment="1">
      <alignment horizontal="center"/>
    </xf>
    <xf numFmtId="9" fontId="0" fillId="0" borderId="0" xfId="0" applyNumberFormat="1"/>
    <xf numFmtId="43" fontId="0" fillId="2" borderId="0" xfId="1" applyFont="1" applyFill="1"/>
    <xf numFmtId="43" fontId="0" fillId="4" borderId="0" xfId="1" applyFont="1" applyFill="1"/>
    <xf numFmtId="164" fontId="0" fillId="4" borderId="0" xfId="1" applyNumberFormat="1" applyFont="1" applyFill="1" applyAlignment="1">
      <alignment horizontal="center"/>
    </xf>
    <xf numFmtId="166" fontId="0" fillId="0" borderId="0" xfId="2" applyNumberFormat="1" applyFont="1"/>
    <xf numFmtId="166" fontId="0" fillId="7" borderId="0" xfId="2" applyNumberFormat="1" applyFont="1" applyFill="1"/>
    <xf numFmtId="0" fontId="6" fillId="0" borderId="0" xfId="0" applyFont="1"/>
    <xf numFmtId="164" fontId="0" fillId="0" borderId="2" xfId="1" applyNumberFormat="1" applyFont="1" applyBorder="1"/>
    <xf numFmtId="43" fontId="0" fillId="0" borderId="0" xfId="0" applyNumberFormat="1"/>
    <xf numFmtId="164" fontId="0" fillId="0" borderId="2" xfId="0" applyNumberFormat="1" applyBorder="1"/>
    <xf numFmtId="8" fontId="0" fillId="0" borderId="0" xfId="0" applyNumberFormat="1" applyBorder="1"/>
    <xf numFmtId="0" fontId="1" fillId="12" borderId="0" xfId="0" applyFont="1" applyFill="1" applyAlignment="1">
      <alignment horizontal="center" vertical="center" wrapText="1"/>
    </xf>
    <xf numFmtId="44" fontId="0" fillId="3" borderId="0" xfId="2" applyFont="1" applyFill="1"/>
    <xf numFmtId="166" fontId="0" fillId="3" borderId="0" xfId="2" applyNumberFormat="1" applyFont="1" applyFill="1"/>
    <xf numFmtId="44" fontId="3" fillId="3" borderId="0" xfId="2" applyFont="1" applyFill="1"/>
    <xf numFmtId="0" fontId="0" fillId="3" borderId="0" xfId="0" applyFill="1" applyAlignment="1">
      <alignment horizontal="center" vertical="center"/>
    </xf>
    <xf numFmtId="166" fontId="0" fillId="4" borderId="0" xfId="2" applyNumberFormat="1" applyFont="1" applyFill="1"/>
    <xf numFmtId="0" fontId="0" fillId="2" borderId="0" xfId="0" applyFill="1" applyAlignment="1">
      <alignment wrapText="1"/>
    </xf>
    <xf numFmtId="166" fontId="0" fillId="2" borderId="0" xfId="2" applyNumberFormat="1" applyFont="1" applyFill="1"/>
    <xf numFmtId="0" fontId="0" fillId="5" borderId="13" xfId="0" applyFill="1" applyBorder="1" applyAlignment="1">
      <alignment horizontal="center" vertical="center" wrapText="1"/>
    </xf>
    <xf numFmtId="0" fontId="0" fillId="5" borderId="11" xfId="0" applyFill="1" applyBorder="1" applyAlignment="1">
      <alignment horizontal="center" vertical="center" wrapText="1"/>
    </xf>
    <xf numFmtId="0" fontId="0" fillId="5" borderId="12" xfId="0" applyFill="1" applyBorder="1" applyAlignment="1">
      <alignment horizontal="center" vertical="center" wrapText="1"/>
    </xf>
    <xf numFmtId="0" fontId="0" fillId="5" borderId="7" xfId="0" applyFill="1" applyBorder="1" applyAlignment="1">
      <alignment horizontal="center" vertical="center" wrapText="1"/>
    </xf>
    <xf numFmtId="0" fontId="0" fillId="5" borderId="9" xfId="0" applyFill="1" applyBorder="1" applyAlignment="1">
      <alignment horizontal="center" vertical="center" wrapText="1"/>
    </xf>
    <xf numFmtId="0" fontId="0" fillId="6" borderId="13" xfId="0" applyFill="1" applyBorder="1" applyAlignment="1">
      <alignment horizontal="center" vertical="center" wrapText="1"/>
    </xf>
    <xf numFmtId="0" fontId="0" fillId="6" borderId="11" xfId="0" applyFill="1" applyBorder="1" applyAlignment="1">
      <alignment horizontal="center" vertical="center" wrapText="1"/>
    </xf>
    <xf numFmtId="0" fontId="0" fillId="6" borderId="12" xfId="0" applyFill="1" applyBorder="1" applyAlignment="1">
      <alignment horizontal="center" vertical="center" wrapText="1"/>
    </xf>
    <xf numFmtId="0" fontId="0" fillId="6" borderId="7" xfId="0" applyFill="1" applyBorder="1" applyAlignment="1">
      <alignment horizontal="center" vertical="center" wrapText="1"/>
    </xf>
    <xf numFmtId="0" fontId="0" fillId="6" borderId="9" xfId="0" applyFill="1" applyBorder="1" applyAlignment="1">
      <alignment horizontal="center" vertical="center" wrapText="1"/>
    </xf>
    <xf numFmtId="0" fontId="0" fillId="2" borderId="1" xfId="0" applyFill="1" applyBorder="1"/>
    <xf numFmtId="164" fontId="0" fillId="2" borderId="8" xfId="1" applyNumberFormat="1" applyFont="1" applyFill="1" applyBorder="1"/>
    <xf numFmtId="9" fontId="0" fillId="2" borderId="7" xfId="0" applyNumberFormat="1" applyFill="1" applyBorder="1"/>
    <xf numFmtId="44" fontId="0" fillId="2" borderId="9" xfId="0" applyNumberFormat="1" applyFill="1" applyBorder="1"/>
    <xf numFmtId="0" fontId="0" fillId="2" borderId="8" xfId="0" applyFill="1" applyBorder="1"/>
    <xf numFmtId="0" fontId="0" fillId="2" borderId="7" xfId="0" applyFill="1" applyBorder="1"/>
    <xf numFmtId="165" fontId="0" fillId="2" borderId="17" xfId="0" applyNumberFormat="1" applyFill="1" applyBorder="1"/>
    <xf numFmtId="165" fontId="0" fillId="2" borderId="9" xfId="0" applyNumberFormat="1" applyFill="1" applyBorder="1"/>
    <xf numFmtId="0" fontId="0" fillId="7" borderId="13" xfId="0" applyFill="1" applyBorder="1" applyAlignment="1">
      <alignment horizontal="center" vertical="center" wrapText="1"/>
    </xf>
    <xf numFmtId="0" fontId="0" fillId="7" borderId="11" xfId="0" applyFill="1" applyBorder="1" applyAlignment="1">
      <alignment horizontal="center" vertical="center" wrapText="1"/>
    </xf>
    <xf numFmtId="0" fontId="0" fillId="7" borderId="12" xfId="0" applyFill="1" applyBorder="1" applyAlignment="1">
      <alignment horizontal="center" vertical="center" wrapText="1"/>
    </xf>
    <xf numFmtId="0" fontId="0" fillId="7" borderId="7" xfId="0" applyFill="1" applyBorder="1" applyAlignment="1">
      <alignment horizontal="center" vertical="center" wrapText="1"/>
    </xf>
    <xf numFmtId="0" fontId="0" fillId="7" borderId="9" xfId="0" applyFill="1" applyBorder="1" applyAlignment="1">
      <alignment horizontal="center" vertical="center" wrapText="1"/>
    </xf>
    <xf numFmtId="0" fontId="0" fillId="5" borderId="7" xfId="0" applyFill="1" applyBorder="1"/>
    <xf numFmtId="165" fontId="0" fillId="5" borderId="17" xfId="0" applyNumberFormat="1" applyFill="1" applyBorder="1"/>
    <xf numFmtId="165" fontId="0" fillId="5" borderId="9" xfId="0" applyNumberFormat="1" applyFill="1" applyBorder="1"/>
    <xf numFmtId="1" fontId="0" fillId="5" borderId="8" xfId="0" applyNumberFormat="1" applyFill="1" applyBorder="1"/>
    <xf numFmtId="1" fontId="0" fillId="5" borderId="7" xfId="0" applyNumberFormat="1" applyFill="1" applyBorder="1"/>
    <xf numFmtId="44" fontId="0" fillId="5" borderId="7" xfId="0" applyNumberFormat="1" applyFill="1" applyBorder="1"/>
    <xf numFmtId="0" fontId="0" fillId="4" borderId="1" xfId="0" applyFill="1" applyBorder="1"/>
    <xf numFmtId="164" fontId="0" fillId="4" borderId="8" xfId="1" applyNumberFormat="1" applyFont="1" applyFill="1" applyBorder="1"/>
    <xf numFmtId="9" fontId="0" fillId="4" borderId="7" xfId="0" applyNumberFormat="1" applyFill="1" applyBorder="1"/>
    <xf numFmtId="44" fontId="0" fillId="4" borderId="9" xfId="0" applyNumberFormat="1" applyFill="1" applyBorder="1"/>
    <xf numFmtId="0" fontId="0" fillId="4" borderId="8" xfId="0" applyFill="1" applyBorder="1"/>
    <xf numFmtId="0" fontId="0" fillId="4" borderId="7" xfId="0" applyFill="1" applyBorder="1"/>
    <xf numFmtId="165" fontId="0" fillId="4" borderId="17" xfId="0" applyNumberFormat="1" applyFill="1" applyBorder="1"/>
    <xf numFmtId="165" fontId="0" fillId="4" borderId="9" xfId="0" applyNumberFormat="1" applyFill="1" applyBorder="1"/>
    <xf numFmtId="0" fontId="1" fillId="5" borderId="0" xfId="0" applyFont="1" applyFill="1"/>
    <xf numFmtId="44" fontId="0" fillId="5" borderId="0" xfId="0" applyNumberFormat="1" applyFill="1"/>
    <xf numFmtId="0" fontId="1" fillId="7" borderId="0" xfId="0" applyFont="1" applyFill="1"/>
    <xf numFmtId="44" fontId="0" fillId="7" borderId="0" xfId="0" applyNumberFormat="1" applyFill="1"/>
    <xf numFmtId="1" fontId="0" fillId="7" borderId="8" xfId="0" applyNumberFormat="1" applyFill="1" applyBorder="1"/>
    <xf numFmtId="0" fontId="0" fillId="7" borderId="7" xfId="0" applyFill="1" applyBorder="1"/>
    <xf numFmtId="165" fontId="0" fillId="7" borderId="17" xfId="0" applyNumberFormat="1" applyFill="1" applyBorder="1"/>
    <xf numFmtId="1" fontId="0" fillId="7" borderId="7" xfId="0" applyNumberFormat="1" applyFill="1" applyBorder="1"/>
    <xf numFmtId="165" fontId="0" fillId="7" borderId="9" xfId="0" applyNumberFormat="1" applyFill="1" applyBorder="1"/>
    <xf numFmtId="0" fontId="0" fillId="3" borderId="7" xfId="0" applyFill="1" applyBorder="1"/>
    <xf numFmtId="165" fontId="0" fillId="3" borderId="17" xfId="0" applyNumberFormat="1" applyFill="1" applyBorder="1"/>
    <xf numFmtId="1" fontId="0" fillId="3" borderId="7" xfId="0" applyNumberFormat="1" applyFill="1" applyBorder="1"/>
    <xf numFmtId="165" fontId="0" fillId="3" borderId="9" xfId="0" applyNumberFormat="1" applyFill="1" applyBorder="1"/>
    <xf numFmtId="0" fontId="1" fillId="6" borderId="0" xfId="0" applyFont="1" applyFill="1"/>
    <xf numFmtId="44" fontId="0" fillId="6" borderId="0" xfId="0" applyNumberFormat="1" applyFill="1"/>
    <xf numFmtId="0" fontId="0" fillId="3" borderId="13"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7" xfId="0" applyFill="1" applyBorder="1" applyAlignment="1">
      <alignment horizontal="center" vertical="center" wrapText="1"/>
    </xf>
    <xf numFmtId="0" fontId="0" fillId="3" borderId="9" xfId="0" applyFill="1" applyBorder="1" applyAlignment="1">
      <alignment horizontal="center" vertical="center" wrapText="1"/>
    </xf>
    <xf numFmtId="1" fontId="0" fillId="3" borderId="8" xfId="0" applyNumberFormat="1" applyFill="1" applyBorder="1"/>
    <xf numFmtId="0" fontId="1" fillId="3" borderId="0" xfId="0" applyFont="1" applyFill="1"/>
    <xf numFmtId="0" fontId="0" fillId="3" borderId="0" xfId="0" applyFill="1"/>
    <xf numFmtId="44" fontId="0" fillId="3" borderId="0" xfId="0" applyNumberFormat="1" applyFill="1"/>
    <xf numFmtId="43" fontId="0" fillId="0" borderId="0" xfId="0" applyNumberFormat="1" applyFill="1"/>
    <xf numFmtId="164" fontId="0" fillId="0" borderId="0" xfId="1" applyNumberFormat="1" applyFont="1" applyFill="1" applyAlignment="1">
      <alignment horizontal="center"/>
    </xf>
    <xf numFmtId="8" fontId="0" fillId="0" borderId="0" xfId="0" applyNumberFormat="1" applyFill="1" applyBorder="1"/>
    <xf numFmtId="1" fontId="0" fillId="0" borderId="2" xfId="0" applyNumberFormat="1" applyFill="1" applyBorder="1"/>
    <xf numFmtId="165" fontId="0" fillId="0" borderId="10" xfId="0" applyNumberFormat="1" applyFill="1" applyBorder="1"/>
    <xf numFmtId="1" fontId="0" fillId="0" borderId="0" xfId="0" applyNumberFormat="1" applyFill="1" applyBorder="1"/>
    <xf numFmtId="165" fontId="0" fillId="0" borderId="3" xfId="0" applyNumberFormat="1" applyFill="1" applyBorder="1"/>
    <xf numFmtId="0" fontId="1" fillId="11" borderId="5" xfId="0" applyFont="1" applyFill="1" applyBorder="1" applyAlignment="1">
      <alignment wrapText="1"/>
    </xf>
    <xf numFmtId="0" fontId="1" fillId="11" borderId="4" xfId="0" applyFont="1" applyFill="1" applyBorder="1" applyAlignment="1">
      <alignment horizontal="center"/>
    </xf>
    <xf numFmtId="0" fontId="1" fillId="11" borderId="4" xfId="0" applyFont="1" applyFill="1" applyBorder="1"/>
    <xf numFmtId="0" fontId="0" fillId="11" borderId="4" xfId="0" applyFill="1" applyBorder="1"/>
    <xf numFmtId="0" fontId="0" fillId="11" borderId="6" xfId="0" applyFill="1" applyBorder="1"/>
    <xf numFmtId="0" fontId="3" fillId="8" borderId="2" xfId="0" applyFont="1" applyFill="1" applyBorder="1" applyAlignment="1">
      <alignment wrapText="1"/>
    </xf>
    <xf numFmtId="164" fontId="0" fillId="0" borderId="0" xfId="1" applyNumberFormat="1" applyFont="1" applyFill="1" applyBorder="1"/>
    <xf numFmtId="0" fontId="0" fillId="8" borderId="0" xfId="0" applyFont="1" applyFill="1" applyBorder="1"/>
    <xf numFmtId="0" fontId="3" fillId="8" borderId="0" xfId="0" applyFont="1" applyFill="1" applyBorder="1"/>
    <xf numFmtId="0" fontId="0" fillId="8" borderId="0" xfId="0" applyFill="1" applyBorder="1"/>
    <xf numFmtId="0" fontId="0" fillId="8" borderId="3" xfId="0" applyFill="1" applyBorder="1"/>
    <xf numFmtId="9" fontId="0" fillId="0" borderId="0" xfId="3" applyFont="1" applyFill="1" applyBorder="1"/>
    <xf numFmtId="43" fontId="0" fillId="0" borderId="0" xfId="1" applyNumberFormat="1" applyFont="1" applyFill="1" applyBorder="1"/>
    <xf numFmtId="0" fontId="3" fillId="8" borderId="8" xfId="0" applyFont="1" applyFill="1" applyBorder="1" applyAlignment="1">
      <alignment wrapText="1"/>
    </xf>
    <xf numFmtId="9" fontId="0" fillId="0" borderId="7" xfId="3" applyFont="1" applyFill="1" applyBorder="1"/>
    <xf numFmtId="0" fontId="0" fillId="8" borderId="7" xfId="0" applyFill="1" applyBorder="1"/>
    <xf numFmtId="0" fontId="3" fillId="8" borderId="7" xfId="0" applyFont="1" applyFill="1" applyBorder="1"/>
    <xf numFmtId="0" fontId="0" fillId="8" borderId="9" xfId="0" applyFill="1" applyBorder="1"/>
    <xf numFmtId="44" fontId="0" fillId="0" borderId="0" xfId="2" applyFont="1" applyFill="1"/>
    <xf numFmtId="43" fontId="0" fillId="0" borderId="0" xfId="1" applyFont="1" applyFill="1"/>
    <xf numFmtId="0" fontId="0" fillId="4" borderId="5" xfId="0" applyFill="1" applyBorder="1" applyAlignment="1">
      <alignment horizontal="center" vertical="center" wrapText="1"/>
    </xf>
    <xf numFmtId="0" fontId="0" fillId="4" borderId="8" xfId="0"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7" xfId="0" applyFill="1" applyBorder="1" applyAlignment="1">
      <alignment horizontal="center" vertical="center" wrapText="1"/>
    </xf>
    <xf numFmtId="0" fontId="0" fillId="0" borderId="9" xfId="0" applyFill="1" applyBorder="1" applyAlignment="1">
      <alignment horizontal="center" vertical="center" wrapText="1"/>
    </xf>
    <xf numFmtId="0" fontId="12" fillId="0" borderId="0" xfId="0" applyFont="1" applyFill="1" applyAlignment="1">
      <alignment wrapText="1"/>
    </xf>
    <xf numFmtId="0" fontId="0" fillId="2" borderId="5" xfId="0" applyFill="1" applyBorder="1" applyAlignment="1">
      <alignment horizontal="center" vertical="center" wrapText="1"/>
    </xf>
    <xf numFmtId="164" fontId="3" fillId="7" borderId="0" xfId="1" applyNumberFormat="1" applyFont="1" applyFill="1" applyAlignment="1">
      <alignment horizontal="center"/>
    </xf>
    <xf numFmtId="164" fontId="0" fillId="3" borderId="0" xfId="1" applyNumberFormat="1" applyFont="1" applyFill="1" applyAlignment="1">
      <alignment horizontal="center"/>
    </xf>
    <xf numFmtId="0" fontId="11" fillId="0" borderId="0" xfId="0" applyFont="1"/>
    <xf numFmtId="0" fontId="5" fillId="0" borderId="0" xfId="0" applyFont="1" applyFill="1" applyAlignment="1"/>
    <xf numFmtId="0" fontId="5" fillId="0" borderId="0" xfId="0" applyFont="1" applyFill="1"/>
    <xf numFmtId="0" fontId="0" fillId="0" borderId="5" xfId="0" applyBorder="1" applyAlignment="1">
      <alignment horizontal="center" vertical="center" wrapText="1"/>
    </xf>
    <xf numFmtId="0" fontId="0" fillId="0" borderId="4" xfId="0"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4" xfId="0"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7" borderId="14" xfId="0" applyFont="1" applyFill="1" applyBorder="1" applyAlignment="1">
      <alignment horizontal="center" vertical="center" wrapText="1"/>
    </xf>
    <xf numFmtId="0" fontId="1" fillId="7" borderId="15" xfId="0" applyFont="1" applyFill="1" applyBorder="1" applyAlignment="1">
      <alignment horizontal="center" vertical="center" wrapText="1"/>
    </xf>
    <xf numFmtId="0" fontId="1" fillId="7" borderId="16" xfId="0" applyFont="1" applyFill="1" applyBorder="1" applyAlignment="1">
      <alignment horizontal="center" vertical="center" wrapText="1"/>
    </xf>
    <xf numFmtId="0" fontId="11" fillId="0" borderId="0" xfId="0" applyFont="1" applyAlignment="1">
      <alignment horizontal="left"/>
    </xf>
    <xf numFmtId="0" fontId="13" fillId="0" borderId="0" xfId="0" applyFont="1" applyFill="1" applyAlignment="1">
      <alignment vertical="top"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02"/>
  <sheetViews>
    <sheetView tabSelected="1" zoomScale="75" zoomScaleNormal="75" workbookViewId="0">
      <selection activeCell="F3" sqref="F3"/>
    </sheetView>
  </sheetViews>
  <sheetFormatPr defaultColWidth="8.83984375" defaultRowHeight="14.4" x14ac:dyDescent="0.55000000000000004"/>
  <cols>
    <col min="2" max="2" width="57.41796875" customWidth="1"/>
    <col min="3" max="3" width="17.15625" customWidth="1"/>
    <col min="4" max="4" width="10.83984375" customWidth="1"/>
    <col min="5" max="5" width="14" customWidth="1"/>
    <col min="6" max="6" width="13.15625" customWidth="1"/>
    <col min="7" max="7" width="11.41796875" bestFit="1" customWidth="1"/>
    <col min="8" max="8" width="10.26171875" customWidth="1"/>
    <col min="9" max="10" width="14.15625" customWidth="1"/>
    <col min="11" max="11" width="13.41796875" customWidth="1"/>
    <col min="12" max="12" width="10.41796875" customWidth="1"/>
    <col min="13" max="13" width="10.26171875" customWidth="1"/>
    <col min="14" max="14" width="11.68359375" customWidth="1"/>
    <col min="15" max="15" width="10.26171875" customWidth="1"/>
    <col min="16" max="16" width="10.68359375" customWidth="1"/>
    <col min="17" max="17" width="12.83984375" customWidth="1"/>
    <col min="18" max="18" width="13.41796875" customWidth="1"/>
    <col min="19" max="19" width="12" customWidth="1"/>
    <col min="20" max="20" width="18.41796875" customWidth="1"/>
    <col min="21" max="21" width="11.26171875" customWidth="1"/>
    <col min="22" max="22" width="12.26171875" customWidth="1"/>
    <col min="23" max="23" width="13.41796875" bestFit="1" customWidth="1"/>
    <col min="24" max="24" width="11.26171875" customWidth="1"/>
    <col min="25" max="25" width="8.83984375" customWidth="1"/>
    <col min="27" max="28" width="8.83984375" customWidth="1"/>
  </cols>
  <sheetData>
    <row r="1" spans="1:28" ht="23.1" x14ac:dyDescent="0.85">
      <c r="B1" s="76" t="s">
        <v>68</v>
      </c>
    </row>
    <row r="2" spans="1:28" ht="20.399999999999999" x14ac:dyDescent="0.75">
      <c r="B2" s="212">
        <v>2018</v>
      </c>
    </row>
    <row r="3" spans="1:28" ht="20.399999999999999" x14ac:dyDescent="0.75">
      <c r="B3" s="187"/>
    </row>
    <row r="4" spans="1:28" ht="73.2" x14ac:dyDescent="0.55000000000000004">
      <c r="B4" s="213" t="s">
        <v>105</v>
      </c>
    </row>
    <row r="5" spans="1:28" ht="18.3" x14ac:dyDescent="0.7">
      <c r="B5" s="188" t="s">
        <v>80</v>
      </c>
    </row>
    <row r="6" spans="1:28" ht="18.3" x14ac:dyDescent="0.7">
      <c r="B6" s="189" t="s">
        <v>81</v>
      </c>
    </row>
    <row r="7" spans="1:28" ht="18.3" x14ac:dyDescent="0.7">
      <c r="B7" s="189" t="s">
        <v>103</v>
      </c>
    </row>
    <row r="8" spans="1:28" ht="18.3" x14ac:dyDescent="0.7">
      <c r="B8" s="189" t="s">
        <v>83</v>
      </c>
    </row>
    <row r="9" spans="1:28" ht="18.3" x14ac:dyDescent="0.7">
      <c r="B9" s="189" t="s">
        <v>102</v>
      </c>
    </row>
    <row r="10" spans="1:28" ht="18.3" x14ac:dyDescent="0.7">
      <c r="B10" s="189" t="s">
        <v>82</v>
      </c>
    </row>
    <row r="13" spans="1:28" s="9" customFormat="1" ht="18.600000000000001" thickBot="1" x14ac:dyDescent="0.75">
      <c r="B13" s="183" t="s">
        <v>76</v>
      </c>
      <c r="C13" s="150"/>
    </row>
    <row r="14" spans="1:28" s="9" customFormat="1" x14ac:dyDescent="0.55000000000000004">
      <c r="A14"/>
      <c r="B14" s="157" t="s">
        <v>4</v>
      </c>
      <c r="C14" s="158" t="s">
        <v>36</v>
      </c>
      <c r="D14" s="159"/>
      <c r="E14" s="159"/>
      <c r="F14" s="159"/>
      <c r="G14" s="159" t="s">
        <v>25</v>
      </c>
      <c r="H14" s="160"/>
      <c r="I14" s="160"/>
      <c r="J14" s="160"/>
      <c r="K14" s="160"/>
      <c r="L14" s="160"/>
      <c r="M14" s="160"/>
      <c r="N14" s="160"/>
      <c r="O14" s="160"/>
      <c r="P14" s="160"/>
      <c r="Q14" s="160"/>
      <c r="R14" s="160"/>
      <c r="S14" s="160"/>
      <c r="T14" s="160"/>
      <c r="U14" s="160"/>
      <c r="V14" s="160"/>
      <c r="W14" s="160"/>
      <c r="X14" s="160"/>
      <c r="Y14" s="160"/>
      <c r="Z14" s="160"/>
      <c r="AA14" s="160"/>
      <c r="AB14" s="161"/>
    </row>
    <row r="15" spans="1:28" s="9" customFormat="1" x14ac:dyDescent="0.55000000000000004">
      <c r="A15"/>
      <c r="B15" s="162" t="s">
        <v>29</v>
      </c>
      <c r="C15" s="163">
        <v>489958</v>
      </c>
      <c r="D15" s="164"/>
      <c r="E15" s="164"/>
      <c r="F15" s="164"/>
      <c r="G15" s="165" t="s">
        <v>30</v>
      </c>
      <c r="H15" s="164"/>
      <c r="I15" s="164"/>
      <c r="J15" s="166"/>
      <c r="K15" s="166"/>
      <c r="L15" s="166"/>
      <c r="M15" s="166"/>
      <c r="N15" s="166"/>
      <c r="O15" s="166"/>
      <c r="P15" s="166"/>
      <c r="Q15" s="166"/>
      <c r="R15" s="166"/>
      <c r="S15" s="166"/>
      <c r="T15" s="166"/>
      <c r="U15" s="166"/>
      <c r="V15" s="166"/>
      <c r="W15" s="166"/>
      <c r="X15" s="166"/>
      <c r="Y15" s="166"/>
      <c r="Z15" s="166"/>
      <c r="AA15" s="166"/>
      <c r="AB15" s="167"/>
    </row>
    <row r="16" spans="1:28" s="9" customFormat="1" x14ac:dyDescent="0.55000000000000004">
      <c r="A16"/>
      <c r="B16" s="162" t="s">
        <v>26</v>
      </c>
      <c r="C16" s="152">
        <v>8.36</v>
      </c>
      <c r="D16" s="166"/>
      <c r="E16" s="166"/>
      <c r="F16" s="166"/>
      <c r="G16" s="165" t="s">
        <v>104</v>
      </c>
      <c r="H16" s="166"/>
      <c r="I16" s="166"/>
      <c r="J16" s="166"/>
      <c r="K16" s="166"/>
      <c r="L16" s="166"/>
      <c r="M16" s="166"/>
      <c r="N16" s="166"/>
      <c r="O16" s="166"/>
      <c r="P16" s="166"/>
      <c r="Q16" s="166"/>
      <c r="R16" s="166"/>
      <c r="S16" s="166"/>
      <c r="T16" s="166"/>
      <c r="U16" s="166"/>
      <c r="V16" s="166"/>
      <c r="W16" s="166"/>
      <c r="X16" s="166"/>
      <c r="Y16" s="166"/>
      <c r="Z16" s="166"/>
      <c r="AA16" s="166"/>
      <c r="AB16" s="167"/>
    </row>
    <row r="17" spans="1:28" s="9" customFormat="1" ht="57.6" x14ac:dyDescent="0.55000000000000004">
      <c r="A17"/>
      <c r="B17" s="162" t="s">
        <v>84</v>
      </c>
      <c r="C17" s="168">
        <v>0.15</v>
      </c>
      <c r="D17" s="166"/>
      <c r="E17" s="166"/>
      <c r="F17" s="166"/>
      <c r="G17" s="165" t="s">
        <v>77</v>
      </c>
      <c r="H17" s="166"/>
      <c r="I17" s="166"/>
      <c r="J17" s="166"/>
      <c r="K17" s="166"/>
      <c r="L17" s="166"/>
      <c r="M17" s="166"/>
      <c r="N17" s="166"/>
      <c r="O17" s="166"/>
      <c r="P17" s="166"/>
      <c r="Q17" s="166"/>
      <c r="R17" s="166"/>
      <c r="S17" s="166"/>
      <c r="T17" s="166"/>
      <c r="U17" s="166"/>
      <c r="V17" s="166"/>
      <c r="W17" s="166"/>
      <c r="X17" s="166"/>
      <c r="Y17" s="166"/>
      <c r="Z17" s="166"/>
      <c r="AA17" s="166"/>
      <c r="AB17" s="167"/>
    </row>
    <row r="18" spans="1:28" s="9" customFormat="1" ht="28.8" x14ac:dyDescent="0.55000000000000004">
      <c r="A18"/>
      <c r="B18" s="162" t="s">
        <v>27</v>
      </c>
      <c r="C18" s="152">
        <v>4.5</v>
      </c>
      <c r="D18" s="166"/>
      <c r="E18" s="166"/>
      <c r="F18" s="166"/>
      <c r="G18" s="165" t="s">
        <v>63</v>
      </c>
      <c r="H18" s="166"/>
      <c r="I18" s="166"/>
      <c r="J18" s="166"/>
      <c r="K18" s="166"/>
      <c r="L18" s="166"/>
      <c r="M18" s="166"/>
      <c r="N18" s="166"/>
      <c r="O18" s="166"/>
      <c r="P18" s="166"/>
      <c r="Q18" s="166"/>
      <c r="R18" s="166"/>
      <c r="S18" s="166"/>
      <c r="T18" s="166"/>
      <c r="U18" s="166"/>
      <c r="V18" s="166"/>
      <c r="W18" s="166"/>
      <c r="X18" s="166"/>
      <c r="Y18" s="166"/>
      <c r="Z18" s="166"/>
      <c r="AA18" s="166"/>
      <c r="AB18" s="167"/>
    </row>
    <row r="19" spans="1:28" s="9" customFormat="1" ht="28.8" x14ac:dyDescent="0.55000000000000004">
      <c r="A19"/>
      <c r="B19" s="162" t="s">
        <v>28</v>
      </c>
      <c r="C19" s="152">
        <v>4.92</v>
      </c>
      <c r="D19" s="166"/>
      <c r="E19" s="166"/>
      <c r="F19" s="166"/>
      <c r="G19" s="165" t="s">
        <v>62</v>
      </c>
      <c r="H19" s="166"/>
      <c r="I19" s="166"/>
      <c r="J19" s="166"/>
      <c r="K19" s="166"/>
      <c r="L19" s="166"/>
      <c r="M19" s="166"/>
      <c r="N19" s="166"/>
      <c r="O19" s="166"/>
      <c r="P19" s="166"/>
      <c r="Q19" s="166"/>
      <c r="R19" s="166"/>
      <c r="S19" s="166"/>
      <c r="T19" s="166"/>
      <c r="U19" s="166"/>
      <c r="V19" s="166"/>
      <c r="W19" s="166"/>
      <c r="X19" s="166"/>
      <c r="Y19" s="166"/>
      <c r="Z19" s="166"/>
      <c r="AA19" s="166"/>
      <c r="AB19" s="167"/>
    </row>
    <row r="20" spans="1:28" s="9" customFormat="1" ht="43.2" x14ac:dyDescent="0.55000000000000004">
      <c r="A20"/>
      <c r="B20" s="162" t="s">
        <v>74</v>
      </c>
      <c r="C20" s="168">
        <v>0.2</v>
      </c>
      <c r="D20" s="166"/>
      <c r="E20" s="166"/>
      <c r="F20" s="166"/>
      <c r="G20" s="165" t="s">
        <v>85</v>
      </c>
      <c r="H20" s="166"/>
      <c r="I20" s="166"/>
      <c r="J20" s="166"/>
      <c r="K20" s="166"/>
      <c r="L20" s="166"/>
      <c r="M20" s="166"/>
      <c r="N20" s="166"/>
      <c r="O20" s="166"/>
      <c r="P20" s="166"/>
      <c r="Q20" s="166"/>
      <c r="R20" s="166"/>
      <c r="S20" s="166"/>
      <c r="T20" s="166"/>
      <c r="U20" s="166"/>
      <c r="V20" s="166"/>
      <c r="W20" s="166"/>
      <c r="X20" s="166"/>
      <c r="Y20" s="166"/>
      <c r="Z20" s="166"/>
      <c r="AA20" s="166"/>
      <c r="AB20" s="167"/>
    </row>
    <row r="21" spans="1:28" s="9" customFormat="1" ht="28.8" x14ac:dyDescent="0.55000000000000004">
      <c r="A21"/>
      <c r="B21" s="162" t="s">
        <v>31</v>
      </c>
      <c r="C21" s="152">
        <v>8.83</v>
      </c>
      <c r="D21" s="166"/>
      <c r="E21" s="166"/>
      <c r="F21" s="166"/>
      <c r="G21" s="165" t="s">
        <v>33</v>
      </c>
      <c r="H21" s="166"/>
      <c r="I21" s="166"/>
      <c r="J21" s="166"/>
      <c r="K21" s="166"/>
      <c r="L21" s="166"/>
      <c r="M21" s="166"/>
      <c r="N21" s="166"/>
      <c r="O21" s="166"/>
      <c r="P21" s="166"/>
      <c r="Q21" s="166"/>
      <c r="R21" s="166"/>
      <c r="S21" s="166"/>
      <c r="T21" s="166"/>
      <c r="U21" s="166"/>
      <c r="V21" s="166"/>
      <c r="W21" s="166"/>
      <c r="X21" s="166"/>
      <c r="Y21" s="166"/>
      <c r="Z21" s="166"/>
      <c r="AA21" s="166"/>
      <c r="AB21" s="167"/>
    </row>
    <row r="22" spans="1:28" s="9" customFormat="1" ht="28.8" x14ac:dyDescent="0.55000000000000004">
      <c r="A22"/>
      <c r="B22" s="162" t="s">
        <v>32</v>
      </c>
      <c r="C22" s="152">
        <v>7.25</v>
      </c>
      <c r="D22" s="166"/>
      <c r="E22" s="166"/>
      <c r="F22" s="166"/>
      <c r="G22" s="165" t="s">
        <v>34</v>
      </c>
      <c r="H22" s="166"/>
      <c r="I22" s="166"/>
      <c r="J22" s="166"/>
      <c r="K22" s="166"/>
      <c r="L22" s="166"/>
      <c r="M22" s="166"/>
      <c r="N22" s="166"/>
      <c r="O22" s="166"/>
      <c r="P22" s="166"/>
      <c r="Q22" s="166"/>
      <c r="R22" s="166"/>
      <c r="S22" s="166"/>
      <c r="T22" s="166"/>
      <c r="U22" s="166"/>
      <c r="V22" s="166"/>
      <c r="W22" s="166"/>
      <c r="X22" s="166"/>
      <c r="Y22" s="166"/>
      <c r="Z22" s="166"/>
      <c r="AA22" s="166"/>
      <c r="AB22" s="167"/>
    </row>
    <row r="23" spans="1:28" s="9" customFormat="1" x14ac:dyDescent="0.55000000000000004">
      <c r="A23"/>
      <c r="B23" s="162" t="s">
        <v>37</v>
      </c>
      <c r="C23" s="152">
        <v>74.180000000000007</v>
      </c>
      <c r="D23" s="166"/>
      <c r="E23" s="166"/>
      <c r="F23" s="166"/>
      <c r="G23" s="165" t="s">
        <v>78</v>
      </c>
      <c r="H23" s="166"/>
      <c r="I23" s="166"/>
      <c r="J23" s="166"/>
      <c r="K23" s="166"/>
      <c r="L23" s="166"/>
      <c r="M23" s="166"/>
      <c r="N23" s="166"/>
      <c r="O23" s="166"/>
      <c r="P23" s="166"/>
      <c r="Q23" s="166"/>
      <c r="R23" s="166"/>
      <c r="S23" s="166"/>
      <c r="T23" s="166"/>
      <c r="U23" s="166"/>
      <c r="V23" s="166"/>
      <c r="W23" s="166"/>
      <c r="X23" s="166"/>
      <c r="Y23" s="166"/>
      <c r="Z23" s="166"/>
      <c r="AA23" s="166"/>
      <c r="AB23" s="167"/>
    </row>
    <row r="24" spans="1:28" s="9" customFormat="1" ht="28.8" x14ac:dyDescent="0.55000000000000004">
      <c r="A24"/>
      <c r="B24" s="162" t="s">
        <v>75</v>
      </c>
      <c r="C24" s="169">
        <v>0.36</v>
      </c>
      <c r="D24" s="166"/>
      <c r="E24" s="166"/>
      <c r="F24" s="166"/>
      <c r="G24" s="165" t="s">
        <v>58</v>
      </c>
      <c r="H24" s="166"/>
      <c r="I24" s="166"/>
      <c r="J24" s="166"/>
      <c r="K24" s="166"/>
      <c r="L24" s="166"/>
      <c r="M24" s="166"/>
      <c r="N24" s="166"/>
      <c r="O24" s="166"/>
      <c r="P24" s="166"/>
      <c r="Q24" s="166"/>
      <c r="R24" s="166"/>
      <c r="S24" s="166"/>
      <c r="T24" s="166"/>
      <c r="U24" s="166"/>
      <c r="V24" s="166"/>
      <c r="W24" s="166"/>
      <c r="X24" s="166"/>
      <c r="Y24" s="166"/>
      <c r="Z24" s="166"/>
      <c r="AA24" s="166"/>
      <c r="AB24" s="167"/>
    </row>
    <row r="25" spans="1:28" s="9" customFormat="1" x14ac:dyDescent="0.55000000000000004">
      <c r="A25"/>
      <c r="B25" s="162" t="s">
        <v>38</v>
      </c>
      <c r="C25" s="152">
        <f>33.64*1.5337</f>
        <v>51.593668000000001</v>
      </c>
      <c r="D25" s="166"/>
      <c r="E25" s="166"/>
      <c r="F25" s="166"/>
      <c r="G25" s="165" t="s">
        <v>79</v>
      </c>
      <c r="H25" s="166"/>
      <c r="I25" s="166"/>
      <c r="J25" s="166"/>
      <c r="K25" s="166"/>
      <c r="L25" s="166"/>
      <c r="M25" s="166"/>
      <c r="N25" s="166"/>
      <c r="O25" s="166"/>
      <c r="P25" s="166"/>
      <c r="Q25" s="166"/>
      <c r="R25" s="166"/>
      <c r="S25" s="166"/>
      <c r="T25" s="166"/>
      <c r="U25" s="166"/>
      <c r="V25" s="166"/>
      <c r="W25" s="166"/>
      <c r="X25" s="166"/>
      <c r="Y25" s="166"/>
      <c r="Z25" s="166"/>
      <c r="AA25" s="166"/>
      <c r="AB25" s="167"/>
    </row>
    <row r="26" spans="1:28" s="9" customFormat="1" ht="28.8" x14ac:dyDescent="0.55000000000000004">
      <c r="A26"/>
      <c r="B26" s="162" t="s">
        <v>39</v>
      </c>
      <c r="C26" s="168">
        <v>0.5</v>
      </c>
      <c r="D26" s="166"/>
      <c r="E26" s="166"/>
      <c r="F26" s="166"/>
      <c r="G26" s="165" t="s">
        <v>61</v>
      </c>
      <c r="H26" s="166"/>
      <c r="I26" s="166"/>
      <c r="J26" s="166"/>
      <c r="K26" s="166"/>
      <c r="L26" s="166"/>
      <c r="M26" s="166"/>
      <c r="N26" s="166"/>
      <c r="O26" s="166"/>
      <c r="P26" s="166"/>
      <c r="Q26" s="166"/>
      <c r="R26" s="166"/>
      <c r="S26" s="166"/>
      <c r="T26" s="166"/>
      <c r="U26" s="166"/>
      <c r="V26" s="166"/>
      <c r="W26" s="166"/>
      <c r="X26" s="166"/>
      <c r="Y26" s="166"/>
      <c r="Z26" s="166"/>
      <c r="AA26" s="166"/>
      <c r="AB26" s="167"/>
    </row>
    <row r="27" spans="1:28" s="9" customFormat="1" x14ac:dyDescent="0.55000000000000004">
      <c r="A27"/>
      <c r="B27" s="162" t="s">
        <v>40</v>
      </c>
      <c r="C27" s="168">
        <v>0.03</v>
      </c>
      <c r="D27" s="166"/>
      <c r="E27" s="166"/>
      <c r="F27" s="166"/>
      <c r="G27" s="165" t="s">
        <v>59</v>
      </c>
      <c r="H27" s="166"/>
      <c r="I27" s="166"/>
      <c r="J27" s="166"/>
      <c r="K27" s="166"/>
      <c r="L27" s="166"/>
      <c r="M27" s="166"/>
      <c r="N27" s="166"/>
      <c r="O27" s="166"/>
      <c r="P27" s="166"/>
      <c r="Q27" s="166"/>
      <c r="R27" s="166"/>
      <c r="S27" s="166"/>
      <c r="T27" s="166"/>
      <c r="U27" s="166"/>
      <c r="V27" s="166"/>
      <c r="W27" s="166"/>
      <c r="X27" s="166"/>
      <c r="Y27" s="166"/>
      <c r="Z27" s="166"/>
      <c r="AA27" s="166"/>
      <c r="AB27" s="167"/>
    </row>
    <row r="28" spans="1:28" s="9" customFormat="1" ht="14.7" thickBot="1" x14ac:dyDescent="0.6">
      <c r="A28"/>
      <c r="B28" s="170" t="s">
        <v>41</v>
      </c>
      <c r="C28" s="171">
        <v>0.01</v>
      </c>
      <c r="D28" s="172"/>
      <c r="E28" s="172"/>
      <c r="F28" s="172"/>
      <c r="G28" s="173" t="s">
        <v>60</v>
      </c>
      <c r="H28" s="172"/>
      <c r="I28" s="172"/>
      <c r="J28" s="172"/>
      <c r="K28" s="172"/>
      <c r="L28" s="172"/>
      <c r="M28" s="172"/>
      <c r="N28" s="172"/>
      <c r="O28" s="172"/>
      <c r="P28" s="172"/>
      <c r="Q28" s="172"/>
      <c r="R28" s="172"/>
      <c r="S28" s="172"/>
      <c r="T28" s="172"/>
      <c r="U28" s="172"/>
      <c r="V28" s="172"/>
      <c r="W28" s="172"/>
      <c r="X28" s="172"/>
      <c r="Y28" s="172"/>
      <c r="Z28" s="172"/>
      <c r="AA28" s="172"/>
      <c r="AB28" s="174"/>
    </row>
    <row r="30" spans="1:28" x14ac:dyDescent="0.55000000000000004">
      <c r="M30" s="13"/>
    </row>
    <row r="32" spans="1:28" ht="33.6" customHeight="1" x14ac:dyDescent="0.7">
      <c r="B32" s="15" t="s">
        <v>100</v>
      </c>
    </row>
    <row r="33" spans="1:47" ht="18.600000000000001" customHeight="1" x14ac:dyDescent="0.55000000000000004">
      <c r="B33" s="8" t="s">
        <v>35</v>
      </c>
      <c r="R33" s="50"/>
      <c r="S33" s="50"/>
      <c r="U33" s="49"/>
      <c r="V33" s="49"/>
      <c r="W33" s="49"/>
      <c r="AD33" s="69"/>
      <c r="AE33" s="70"/>
      <c r="AF33" s="70"/>
    </row>
    <row r="34" spans="1:47" s="61" customFormat="1" ht="88.35" customHeight="1" x14ac:dyDescent="0.55000000000000004">
      <c r="A34" s="67"/>
      <c r="B34" s="60" t="s">
        <v>50</v>
      </c>
      <c r="C34" s="60" t="s">
        <v>86</v>
      </c>
      <c r="D34" s="60" t="s">
        <v>87</v>
      </c>
      <c r="E34" s="60" t="s">
        <v>88</v>
      </c>
      <c r="F34" s="60" t="s">
        <v>89</v>
      </c>
      <c r="G34" s="60" t="s">
        <v>99</v>
      </c>
      <c r="H34" s="68" t="s">
        <v>90</v>
      </c>
      <c r="I34" s="68" t="s">
        <v>91</v>
      </c>
      <c r="J34" s="68" t="s">
        <v>92</v>
      </c>
      <c r="K34" s="68" t="s">
        <v>93</v>
      </c>
      <c r="L34" s="68" t="s">
        <v>94</v>
      </c>
      <c r="M34" s="68" t="s">
        <v>95</v>
      </c>
      <c r="N34" s="68" t="s">
        <v>96</v>
      </c>
      <c r="O34" s="68" t="s">
        <v>97</v>
      </c>
      <c r="P34" s="68" t="s">
        <v>98</v>
      </c>
      <c r="Q34" s="60" t="s">
        <v>51</v>
      </c>
      <c r="R34" s="68" t="s">
        <v>52</v>
      </c>
      <c r="S34" s="60" t="s">
        <v>53</v>
      </c>
      <c r="T34" s="68" t="s">
        <v>18</v>
      </c>
      <c r="U34" s="68" t="s">
        <v>56</v>
      </c>
      <c r="V34" s="68" t="s">
        <v>54</v>
      </c>
      <c r="W34" s="60" t="s">
        <v>57</v>
      </c>
      <c r="X34" s="60" t="s">
        <v>55</v>
      </c>
    </row>
    <row r="35" spans="1:47" ht="28.8" x14ac:dyDescent="0.55000000000000004">
      <c r="A35" s="65">
        <v>1</v>
      </c>
      <c r="B35" s="1" t="s">
        <v>19</v>
      </c>
      <c r="C35" s="62">
        <v>0</v>
      </c>
      <c r="D35" s="62">
        <f>+$C$16</f>
        <v>8.36</v>
      </c>
      <c r="E35" s="62">
        <v>0</v>
      </c>
      <c r="F35" s="62">
        <f>$C$24*$C$25</f>
        <v>18.573720479999999</v>
      </c>
      <c r="G35" s="26">
        <f t="shared" ref="G35:G40" si="0">SUM(C35:F35)</f>
        <v>26.933720479999998</v>
      </c>
      <c r="H35" s="21">
        <f>$D35*(1+$C$28)^(H$42-1)+$F35*(1+$C$27)^(H$42-1)</f>
        <v>27.574532094399999</v>
      </c>
      <c r="I35" s="21">
        <f>$D35*(1+$C$28)^(I$42-1)+$F35*(1+$C$27)^(I$42-1)</f>
        <v>28.232896057231997</v>
      </c>
      <c r="J35" s="21">
        <f t="shared" ref="H35:P40" si="1">$D35*(1+$C$28)^(J$42-1)+$F35*(1+$C$27)^(J$42-1)</f>
        <v>28.909322218948958</v>
      </c>
      <c r="K35" s="21">
        <f t="shared" si="1"/>
        <v>29.604335558317423</v>
      </c>
      <c r="L35" s="21">
        <f t="shared" si="1"/>
        <v>30.318476634594944</v>
      </c>
      <c r="M35" s="21">
        <f t="shared" si="1"/>
        <v>31.052302053256078</v>
      </c>
      <c r="N35" s="21">
        <f t="shared" si="1"/>
        <v>31.806384945673273</v>
      </c>
      <c r="O35" s="21">
        <f t="shared" si="1"/>
        <v>32.58131546317118</v>
      </c>
      <c r="P35" s="21">
        <f t="shared" si="1"/>
        <v>33.377701285885301</v>
      </c>
      <c r="Q35" s="26">
        <f>SUM(G35:P35)</f>
        <v>300.39098679147918</v>
      </c>
      <c r="R35" s="74">
        <f>+G35*$C$15/1000000</f>
        <v>13.196391818939839</v>
      </c>
      <c r="S35" s="75">
        <f>+Q35*$C$15/1000000</f>
        <v>147.17896710637956</v>
      </c>
      <c r="T35" s="176">
        <v>7.0945945945945903</v>
      </c>
      <c r="U35" s="175">
        <f t="shared" ref="U35:U40" si="2">+R35/T35</f>
        <v>1.8600628468600926</v>
      </c>
      <c r="V35" s="151">
        <f t="shared" ref="V35:V40" si="3">RANK(U35, $U$35:$U$40, 1)</f>
        <v>2</v>
      </c>
      <c r="W35" s="64">
        <f t="shared" ref="W35:W40" si="4">+S35/T35</f>
        <v>20.745225839756369</v>
      </c>
      <c r="X35" s="185">
        <f t="shared" ref="X35:X40" si="5">RANK(W35, $W$35:$W$40, 1)</f>
        <v>3</v>
      </c>
      <c r="Y35" s="61"/>
      <c r="Z35" s="61"/>
      <c r="AA35" s="61"/>
      <c r="AB35" s="61"/>
      <c r="AC35" s="61"/>
      <c r="AD35" s="61"/>
      <c r="AE35" s="21"/>
      <c r="AF35" s="21"/>
      <c r="AG35" s="21"/>
      <c r="AH35" s="21"/>
      <c r="AI35" s="21"/>
      <c r="AJ35" s="21"/>
      <c r="AK35" s="21"/>
      <c r="AL35" s="21"/>
      <c r="AM35" s="21"/>
      <c r="AN35" s="21"/>
      <c r="AO35" s="21"/>
      <c r="AP35" s="21"/>
      <c r="AQ35" s="21"/>
      <c r="AR35" s="21"/>
      <c r="AS35" s="21"/>
    </row>
    <row r="36" spans="1:47" ht="28.8" x14ac:dyDescent="0.55000000000000004">
      <c r="A36" s="65">
        <v>2</v>
      </c>
      <c r="B36" s="6" t="s">
        <v>20</v>
      </c>
      <c r="C36" s="62">
        <f>D36/$C$17*(F57/$C$15)</f>
        <v>0.16799411816282916</v>
      </c>
      <c r="D36" s="62">
        <f>F60</f>
        <v>8.342236028394268</v>
      </c>
      <c r="E36" s="62">
        <f>+($C$23*F57)/$C$15</f>
        <v>0.22407308381534746</v>
      </c>
      <c r="F36" s="62">
        <f>$C$24*$C$25-($C$24*$C$25*$C$26)</f>
        <v>9.2868602399999993</v>
      </c>
      <c r="G36" s="26">
        <f t="shared" si="0"/>
        <v>18.021163470372443</v>
      </c>
      <c r="H36" s="24">
        <f t="shared" si="1"/>
        <v>17.991124435878209</v>
      </c>
      <c r="I36" s="24">
        <f t="shared" si="1"/>
        <v>18.362345001180991</v>
      </c>
      <c r="J36" s="24">
        <f t="shared" si="1"/>
        <v>18.743017051765122</v>
      </c>
      <c r="K36" s="24">
        <f t="shared" si="1"/>
        <v>19.133407280872262</v>
      </c>
      <c r="L36" s="24">
        <f t="shared" si="1"/>
        <v>19.533790214028159</v>
      </c>
      <c r="M36" s="24">
        <f t="shared" si="1"/>
        <v>19.944448442326028</v>
      </c>
      <c r="N36" s="24">
        <f t="shared" si="1"/>
        <v>20.365672862691603</v>
      </c>
      <c r="O36" s="24">
        <f t="shared" si="1"/>
        <v>20.797762925339111</v>
      </c>
      <c r="P36" s="24">
        <f t="shared" si="1"/>
        <v>21.241026888633705</v>
      </c>
      <c r="Q36" s="26">
        <f t="shared" ref="Q36:Q40" si="6">SUM(G36:P36)</f>
        <v>194.13375857308765</v>
      </c>
      <c r="R36" s="86">
        <f t="shared" ref="R36:R40" si="7">+G36*$C$15/1000000</f>
        <v>8.8296132116167421</v>
      </c>
      <c r="S36" s="75">
        <f t="shared" ref="S36:S40" si="8">+Q36*$C$15/1000000</f>
        <v>95.117388082952871</v>
      </c>
      <c r="T36" s="72">
        <v>7.5608108108108105</v>
      </c>
      <c r="U36" s="24">
        <f t="shared" si="2"/>
        <v>1.1678130074345647</v>
      </c>
      <c r="V36" s="73">
        <f t="shared" si="3"/>
        <v>1</v>
      </c>
      <c r="W36" s="64">
        <f t="shared" si="4"/>
        <v>12.580315850113516</v>
      </c>
      <c r="X36" s="185">
        <f t="shared" si="5"/>
        <v>1</v>
      </c>
      <c r="Y36" s="61"/>
      <c r="Z36" s="61"/>
      <c r="AA36" s="61"/>
      <c r="AB36" s="61"/>
      <c r="AC36" s="61"/>
      <c r="AD36" s="61"/>
      <c r="AE36" s="21"/>
      <c r="AF36" s="21"/>
      <c r="AG36" s="21"/>
      <c r="AH36" s="21"/>
      <c r="AI36" s="21"/>
      <c r="AJ36" s="21"/>
      <c r="AK36" s="21"/>
      <c r="AL36" s="21"/>
      <c r="AM36" s="21"/>
      <c r="AN36" s="21"/>
      <c r="AO36" s="21"/>
      <c r="AP36" s="21"/>
      <c r="AQ36" s="21"/>
      <c r="AR36" s="21"/>
      <c r="AS36" s="21"/>
    </row>
    <row r="37" spans="1:47" ht="51" customHeight="1" x14ac:dyDescent="0.55000000000000004">
      <c r="A37" s="65">
        <v>3</v>
      </c>
      <c r="B37" s="1" t="s">
        <v>21</v>
      </c>
      <c r="C37" s="62">
        <f>D37/$C$17*(L57/$C$15)</f>
        <v>4.1934216871309449</v>
      </c>
      <c r="D37" s="62">
        <f>L60</f>
        <v>6.6363351144383804</v>
      </c>
      <c r="E37" s="62">
        <f>+($C$23*L57)/$C$15</f>
        <v>7.0310197282216036</v>
      </c>
      <c r="F37" s="62">
        <f>$C$24*$C$25-($C$24*$C$25*$C$26)</f>
        <v>9.2868602399999993</v>
      </c>
      <c r="G37" s="64">
        <f t="shared" si="0"/>
        <v>27.147636769790928</v>
      </c>
      <c r="H37" s="21">
        <f t="shared" si="1"/>
        <v>16.268164512782764</v>
      </c>
      <c r="I37" s="21">
        <f t="shared" si="1"/>
        <v>16.622155478854591</v>
      </c>
      <c r="J37" s="21">
        <f t="shared" si="1"/>
        <v>16.985425634215456</v>
      </c>
      <c r="K37" s="21">
        <f t="shared" si="1"/>
        <v>17.358239949147098</v>
      </c>
      <c r="L37" s="21">
        <f t="shared" si="1"/>
        <v>17.740871208985745</v>
      </c>
      <c r="M37" s="21">
        <f t="shared" si="1"/>
        <v>18.133600247233193</v>
      </c>
      <c r="N37" s="21">
        <f t="shared" si="1"/>
        <v>18.53671618564784</v>
      </c>
      <c r="O37" s="21">
        <f t="shared" si="1"/>
        <v>18.950516681524906</v>
      </c>
      <c r="P37" s="21">
        <f t="shared" si="1"/>
        <v>19.37530818238136</v>
      </c>
      <c r="Q37" s="26">
        <f t="shared" si="6"/>
        <v>187.11863485056389</v>
      </c>
      <c r="R37" s="74">
        <f t="shared" si="7"/>
        <v>13.301201816453224</v>
      </c>
      <c r="S37" s="75">
        <f t="shared" si="8"/>
        <v>91.680272094112595</v>
      </c>
      <c r="T37" s="176">
        <v>7.1216216216216219</v>
      </c>
      <c r="U37" s="175">
        <f t="shared" si="2"/>
        <v>1.8677209381736974</v>
      </c>
      <c r="V37" s="151">
        <f t="shared" si="3"/>
        <v>3</v>
      </c>
      <c r="W37" s="64">
        <f t="shared" si="4"/>
        <v>12.873510692531939</v>
      </c>
      <c r="X37" s="185">
        <f t="shared" si="5"/>
        <v>2</v>
      </c>
      <c r="Y37" s="61"/>
      <c r="Z37" s="61"/>
      <c r="AA37" s="61"/>
      <c r="AB37" s="61"/>
      <c r="AC37" s="61"/>
      <c r="AD37" s="61"/>
      <c r="AE37" s="21"/>
      <c r="AF37" s="21"/>
      <c r="AG37" s="21"/>
      <c r="AH37" s="21"/>
      <c r="AI37" s="21"/>
      <c r="AJ37" s="21"/>
      <c r="AK37" s="21"/>
      <c r="AL37" s="21"/>
      <c r="AM37" s="21"/>
      <c r="AN37" s="21"/>
      <c r="AO37" s="21"/>
      <c r="AP37" s="21"/>
      <c r="AQ37" s="21"/>
      <c r="AR37" s="21"/>
      <c r="AS37" s="21"/>
    </row>
    <row r="38" spans="1:47" ht="36" customHeight="1" x14ac:dyDescent="0.55000000000000004">
      <c r="A38" s="65">
        <v>4</v>
      </c>
      <c r="B38" s="6" t="s">
        <v>22</v>
      </c>
      <c r="C38" s="62">
        <f>D38/$C$17*(R57/$C$15)</f>
        <v>20.109070573396089</v>
      </c>
      <c r="D38" s="63">
        <f>R60</f>
        <v>4.5</v>
      </c>
      <c r="E38" s="62">
        <f>+($C$23*R57)/$C$15</f>
        <v>49.723028504484063</v>
      </c>
      <c r="F38" s="62">
        <f>$C$24*$C$25</f>
        <v>18.573720479999999</v>
      </c>
      <c r="G38" s="26">
        <f t="shared" si="0"/>
        <v>92.905819557880136</v>
      </c>
      <c r="H38" s="24">
        <f t="shared" si="1"/>
        <v>23.675932094399997</v>
      </c>
      <c r="I38" s="24">
        <f t="shared" si="1"/>
        <v>24.295310057231998</v>
      </c>
      <c r="J38" s="24">
        <f t="shared" si="1"/>
        <v>24.932360358948959</v>
      </c>
      <c r="K38" s="24">
        <f t="shared" si="1"/>
        <v>25.587604079717423</v>
      </c>
      <c r="L38" s="24">
        <f t="shared" si="1"/>
        <v>26.261577841208947</v>
      </c>
      <c r="M38" s="24">
        <f t="shared" si="1"/>
        <v>26.954834271936214</v>
      </c>
      <c r="N38" s="24">
        <f t="shared" si="1"/>
        <v>27.667942486540213</v>
      </c>
      <c r="O38" s="24">
        <f t="shared" si="1"/>
        <v>28.401488579446788</v>
      </c>
      <c r="P38" s="24">
        <f t="shared" si="1"/>
        <v>29.156076133323666</v>
      </c>
      <c r="Q38" s="26">
        <f t="shared" si="6"/>
        <v>329.83894546063431</v>
      </c>
      <c r="R38" s="86">
        <f t="shared" si="7"/>
        <v>45.519949538939834</v>
      </c>
      <c r="S38" s="75">
        <f t="shared" si="8"/>
        <v>161.60723004000144</v>
      </c>
      <c r="T38" s="72">
        <v>3.4662162162162162</v>
      </c>
      <c r="U38" s="24">
        <f t="shared" si="2"/>
        <v>13.13246107556159</v>
      </c>
      <c r="V38" s="73">
        <f t="shared" si="3"/>
        <v>6</v>
      </c>
      <c r="W38" s="64">
        <f t="shared" si="4"/>
        <v>46.623528354620298</v>
      </c>
      <c r="X38" s="185">
        <f t="shared" si="5"/>
        <v>6</v>
      </c>
      <c r="Y38" s="61"/>
      <c r="Z38" s="61"/>
      <c r="AA38" s="61"/>
      <c r="AB38" s="61"/>
      <c r="AC38" s="61"/>
      <c r="AD38" s="61"/>
      <c r="AE38" s="21"/>
      <c r="AF38" s="21"/>
      <c r="AG38" s="21"/>
      <c r="AH38" s="21"/>
      <c r="AI38" s="21"/>
      <c r="AJ38" s="21"/>
      <c r="AK38" s="21"/>
      <c r="AL38" s="21"/>
      <c r="AM38" s="21"/>
      <c r="AN38" s="21"/>
      <c r="AO38" s="21"/>
      <c r="AP38" s="21"/>
      <c r="AQ38" s="21"/>
      <c r="AR38" s="21"/>
      <c r="AS38" s="21"/>
    </row>
    <row r="39" spans="1:47" ht="28.8" x14ac:dyDescent="0.55000000000000004">
      <c r="A39" s="65">
        <v>5</v>
      </c>
      <c r="B39" s="1" t="s">
        <v>23</v>
      </c>
      <c r="C39" s="62">
        <f>D39/$C$17*(R57/$C$15)</f>
        <v>20.109070573396089</v>
      </c>
      <c r="D39" s="62">
        <f>R60</f>
        <v>4.5</v>
      </c>
      <c r="E39" s="62">
        <f>+($C$23*R57)/$C$15</f>
        <v>49.723028504484063</v>
      </c>
      <c r="F39" s="62">
        <f>$C$24*$C$25-($C$24*$C$25*$C$26)</f>
        <v>9.2868602399999993</v>
      </c>
      <c r="G39" s="26">
        <f t="shared" si="0"/>
        <v>83.61895931788014</v>
      </c>
      <c r="H39" s="21">
        <f t="shared" si="1"/>
        <v>14.110466047199999</v>
      </c>
      <c r="I39" s="21">
        <f t="shared" si="1"/>
        <v>14.442880028615999</v>
      </c>
      <c r="J39" s="21">
        <f t="shared" si="1"/>
        <v>14.784357429474479</v>
      </c>
      <c r="K39" s="21">
        <f t="shared" si="1"/>
        <v>15.135161062358712</v>
      </c>
      <c r="L39" s="21">
        <f t="shared" si="1"/>
        <v>15.495561533329473</v>
      </c>
      <c r="M39" s="21">
        <f t="shared" si="1"/>
        <v>15.865837474820358</v>
      </c>
      <c r="N39" s="21">
        <f t="shared" si="1"/>
        <v>16.246275785510878</v>
      </c>
      <c r="O39" s="21">
        <f t="shared" si="1"/>
        <v>16.637171877386574</v>
      </c>
      <c r="P39" s="21">
        <f t="shared" si="1"/>
        <v>17.038829930201643</v>
      </c>
      <c r="Q39" s="26">
        <f t="shared" si="6"/>
        <v>223.37550048677826</v>
      </c>
      <c r="R39" s="74">
        <f t="shared" si="7"/>
        <v>40.969778069469925</v>
      </c>
      <c r="S39" s="75">
        <f t="shared" si="8"/>
        <v>109.44461346750091</v>
      </c>
      <c r="T39" s="176">
        <v>4.1554054054054053</v>
      </c>
      <c r="U39" s="175">
        <f t="shared" si="2"/>
        <v>9.8593937467992667</v>
      </c>
      <c r="V39" s="151">
        <f t="shared" si="3"/>
        <v>5</v>
      </c>
      <c r="W39" s="64">
        <f t="shared" si="4"/>
        <v>26.337890720634366</v>
      </c>
      <c r="X39" s="185">
        <f t="shared" si="5"/>
        <v>5</v>
      </c>
      <c r="Y39" s="61"/>
      <c r="Z39" s="61"/>
      <c r="AA39" s="61"/>
      <c r="AB39" s="61"/>
      <c r="AC39" s="61"/>
      <c r="AD39" s="61"/>
      <c r="AE39" s="21"/>
      <c r="AF39" s="21"/>
      <c r="AG39" s="21"/>
      <c r="AH39" s="21"/>
      <c r="AI39" s="21"/>
      <c r="AJ39" s="21"/>
      <c r="AK39" s="21"/>
      <c r="AL39" s="21"/>
      <c r="AM39" s="21"/>
      <c r="AN39" s="21"/>
      <c r="AO39" s="21"/>
      <c r="AP39" s="21"/>
      <c r="AQ39" s="21"/>
      <c r="AR39" s="21"/>
      <c r="AS39" s="21"/>
    </row>
    <row r="40" spans="1:47" ht="28.8" x14ac:dyDescent="0.55000000000000004">
      <c r="A40" s="65">
        <v>6</v>
      </c>
      <c r="B40" s="6" t="s">
        <v>24</v>
      </c>
      <c r="C40" s="62">
        <f>D40/$C$17*(R57/$C$15)</f>
        <v>20.109070573396089</v>
      </c>
      <c r="D40" s="62">
        <f>R60</f>
        <v>4.5</v>
      </c>
      <c r="E40" s="62">
        <f>+($C$23*R57)/$C$15</f>
        <v>49.723028504484063</v>
      </c>
      <c r="F40" s="62">
        <f>$C$24*$C$25-($C$24*$C$25*$C$26)</f>
        <v>9.2868602399999993</v>
      </c>
      <c r="G40" s="26">
        <f t="shared" si="0"/>
        <v>83.61895931788014</v>
      </c>
      <c r="H40" s="24">
        <f t="shared" si="1"/>
        <v>14.110466047199999</v>
      </c>
      <c r="I40" s="24">
        <f t="shared" si="1"/>
        <v>14.442880028615999</v>
      </c>
      <c r="J40" s="24">
        <f t="shared" si="1"/>
        <v>14.784357429474479</v>
      </c>
      <c r="K40" s="24">
        <f t="shared" si="1"/>
        <v>15.135161062358712</v>
      </c>
      <c r="L40" s="24">
        <f t="shared" si="1"/>
        <v>15.495561533329473</v>
      </c>
      <c r="M40" s="24">
        <f t="shared" si="1"/>
        <v>15.865837474820358</v>
      </c>
      <c r="N40" s="24">
        <f t="shared" si="1"/>
        <v>16.246275785510878</v>
      </c>
      <c r="O40" s="24">
        <f t="shared" si="1"/>
        <v>16.637171877386574</v>
      </c>
      <c r="P40" s="24">
        <f t="shared" si="1"/>
        <v>17.038829930201643</v>
      </c>
      <c r="Q40" s="26">
        <f t="shared" si="6"/>
        <v>223.37550048677826</v>
      </c>
      <c r="R40" s="86">
        <f t="shared" si="7"/>
        <v>40.969778069469925</v>
      </c>
      <c r="S40" s="75">
        <f t="shared" si="8"/>
        <v>109.44461346750091</v>
      </c>
      <c r="T40" s="72">
        <v>4.2229729729729728</v>
      </c>
      <c r="U40" s="24">
        <f t="shared" si="2"/>
        <v>9.7016434468504791</v>
      </c>
      <c r="V40" s="73">
        <f t="shared" si="3"/>
        <v>4</v>
      </c>
      <c r="W40" s="64">
        <f t="shared" si="4"/>
        <v>25.916484469104219</v>
      </c>
      <c r="X40" s="185">
        <f t="shared" si="5"/>
        <v>4</v>
      </c>
      <c r="Y40" s="61"/>
      <c r="Z40" s="61"/>
      <c r="AA40" s="61"/>
      <c r="AB40" s="61"/>
      <c r="AC40" s="61"/>
      <c r="AD40" s="61"/>
      <c r="AE40" s="21"/>
      <c r="AF40" s="21"/>
      <c r="AG40" s="21"/>
      <c r="AH40" s="21"/>
      <c r="AI40" s="21"/>
      <c r="AJ40" s="21"/>
      <c r="AK40" s="21"/>
      <c r="AL40" s="21"/>
      <c r="AM40" s="21"/>
      <c r="AN40" s="21"/>
      <c r="AO40" s="21"/>
      <c r="AP40" s="21"/>
      <c r="AQ40" s="21"/>
      <c r="AR40" s="21"/>
      <c r="AS40" s="21"/>
    </row>
    <row r="41" spans="1:47" x14ac:dyDescent="0.55000000000000004">
      <c r="A41" s="27"/>
      <c r="H41" s="21"/>
      <c r="I41" s="46"/>
      <c r="J41" s="46"/>
      <c r="K41" s="46"/>
      <c r="L41" s="46"/>
      <c r="M41" s="46"/>
      <c r="N41" s="46"/>
      <c r="O41" s="46"/>
      <c r="P41" s="46"/>
      <c r="Q41" s="46"/>
      <c r="R41" s="46"/>
      <c r="S41" s="46"/>
      <c r="T41" s="46"/>
      <c r="U41" s="46"/>
      <c r="V41" s="46"/>
      <c r="W41" s="46"/>
      <c r="X41" s="46"/>
      <c r="Y41" s="21"/>
      <c r="Z41" s="21"/>
      <c r="AA41" s="21"/>
      <c r="AB41" s="21"/>
      <c r="AC41" s="21"/>
      <c r="AD41" s="21"/>
      <c r="AE41" s="21"/>
      <c r="AF41" s="21"/>
      <c r="AG41" s="21"/>
      <c r="AH41" s="21"/>
      <c r="AI41" s="21"/>
      <c r="AJ41" s="21"/>
      <c r="AK41" s="21"/>
      <c r="AL41" s="21"/>
      <c r="AM41" s="21"/>
      <c r="AN41" s="21"/>
      <c r="AO41" s="21"/>
      <c r="AP41" s="21"/>
      <c r="AQ41" s="21"/>
      <c r="AR41" s="21"/>
      <c r="AS41" s="21"/>
      <c r="AT41" s="21"/>
      <c r="AU41" s="21"/>
    </row>
    <row r="42" spans="1:47" x14ac:dyDescent="0.55000000000000004">
      <c r="B42" s="47" t="s">
        <v>47</v>
      </c>
      <c r="C42" s="48"/>
      <c r="D42" s="48"/>
      <c r="E42" s="48"/>
      <c r="F42" s="48"/>
      <c r="G42" s="48">
        <v>1</v>
      </c>
      <c r="H42" s="48">
        <v>2</v>
      </c>
      <c r="I42" s="48">
        <v>3</v>
      </c>
      <c r="J42" s="48">
        <v>4</v>
      </c>
      <c r="K42" s="48">
        <v>5</v>
      </c>
      <c r="L42" s="48">
        <v>6</v>
      </c>
      <c r="M42" s="48">
        <v>7</v>
      </c>
      <c r="N42" s="48">
        <v>8</v>
      </c>
      <c r="O42" s="48">
        <v>9</v>
      </c>
      <c r="P42" s="48">
        <v>10</v>
      </c>
      <c r="Y42" s="151"/>
    </row>
    <row r="45" spans="1:47" ht="18.3" x14ac:dyDescent="0.7">
      <c r="B45" s="15" t="s">
        <v>72</v>
      </c>
    </row>
    <row r="46" spans="1:47" ht="14.7" thickBot="1" x14ac:dyDescent="0.6"/>
    <row r="47" spans="1:47" ht="77.5" customHeight="1" x14ac:dyDescent="0.55000000000000004">
      <c r="B47" s="177" t="s">
        <v>5</v>
      </c>
      <c r="C47" s="201" t="s">
        <v>69</v>
      </c>
      <c r="D47" s="202"/>
      <c r="E47" s="179" t="s">
        <v>17</v>
      </c>
      <c r="F47" s="203" t="s">
        <v>64</v>
      </c>
      <c r="G47" s="204"/>
      <c r="H47" s="204"/>
      <c r="I47" s="204"/>
      <c r="J47" s="204"/>
      <c r="K47" s="205"/>
      <c r="L47" s="206" t="s">
        <v>65</v>
      </c>
      <c r="M47" s="207"/>
      <c r="N47" s="207"/>
      <c r="O47" s="207"/>
      <c r="P47" s="207"/>
      <c r="Q47" s="208"/>
      <c r="R47" s="209" t="s">
        <v>66</v>
      </c>
      <c r="S47" s="210"/>
      <c r="T47" s="210"/>
      <c r="U47" s="210"/>
      <c r="V47" s="210"/>
      <c r="W47" s="211"/>
    </row>
    <row r="48" spans="1:47" ht="72.3" thickBot="1" x14ac:dyDescent="0.6">
      <c r="B48" s="178"/>
      <c r="C48" s="180" t="s">
        <v>6</v>
      </c>
      <c r="D48" s="181" t="s">
        <v>7</v>
      </c>
      <c r="E48" s="182" t="s">
        <v>70</v>
      </c>
      <c r="F48" s="51" t="s">
        <v>13</v>
      </c>
      <c r="G48" s="52" t="s">
        <v>14</v>
      </c>
      <c r="H48" s="53" t="s">
        <v>42</v>
      </c>
      <c r="I48" s="35" t="s">
        <v>15</v>
      </c>
      <c r="J48" s="35" t="s">
        <v>16</v>
      </c>
      <c r="K48" s="36" t="s">
        <v>43</v>
      </c>
      <c r="L48" s="89" t="s">
        <v>13</v>
      </c>
      <c r="M48" s="90" t="s">
        <v>14</v>
      </c>
      <c r="N48" s="91" t="s">
        <v>42</v>
      </c>
      <c r="O48" s="92" t="s">
        <v>15</v>
      </c>
      <c r="P48" s="92" t="s">
        <v>16</v>
      </c>
      <c r="Q48" s="93" t="s">
        <v>43</v>
      </c>
      <c r="R48" s="107" t="s">
        <v>13</v>
      </c>
      <c r="S48" s="108" t="s">
        <v>14</v>
      </c>
      <c r="T48" s="109" t="s">
        <v>42</v>
      </c>
      <c r="U48" s="110" t="s">
        <v>15</v>
      </c>
      <c r="V48" s="110" t="s">
        <v>16</v>
      </c>
      <c r="W48" s="111" t="s">
        <v>43</v>
      </c>
    </row>
    <row r="49" spans="2:24" x14ac:dyDescent="0.55000000000000004">
      <c r="B49" s="2" t="s">
        <v>0</v>
      </c>
      <c r="C49" s="77">
        <v>161538</v>
      </c>
      <c r="D49" s="17">
        <f t="shared" ref="D49:D56" si="9">C49/$C$57</f>
        <v>0.32969764755346376</v>
      </c>
      <c r="E49" s="12">
        <v>8.8294580841659496</v>
      </c>
      <c r="F49" s="2">
        <v>0</v>
      </c>
      <c r="G49" s="11">
        <v>0</v>
      </c>
      <c r="H49" s="54">
        <f>F49*G49</f>
        <v>0</v>
      </c>
      <c r="I49" s="3">
        <f>C49</f>
        <v>161538</v>
      </c>
      <c r="J49" s="11">
        <f>E49</f>
        <v>8.8294580841659496</v>
      </c>
      <c r="K49" s="34">
        <f>I49*J49</f>
        <v>1426292.9999999991</v>
      </c>
      <c r="L49" s="29">
        <v>0</v>
      </c>
      <c r="M49" s="28">
        <v>0</v>
      </c>
      <c r="N49" s="54">
        <f>L49*M49</f>
        <v>0</v>
      </c>
      <c r="O49" s="10">
        <f>I49</f>
        <v>161538</v>
      </c>
      <c r="P49" s="80">
        <f>$C$19</f>
        <v>4.92</v>
      </c>
      <c r="Q49" s="34">
        <f>O49*P49</f>
        <v>794766.96</v>
      </c>
      <c r="R49" s="20">
        <v>0</v>
      </c>
      <c r="S49" s="11">
        <v>0</v>
      </c>
      <c r="T49" s="54">
        <f>R49*S49</f>
        <v>0</v>
      </c>
      <c r="U49" s="10">
        <f>C49</f>
        <v>161538</v>
      </c>
      <c r="V49" s="80">
        <f>$C$18</f>
        <v>4.5</v>
      </c>
      <c r="W49" s="34">
        <f>U49*V49</f>
        <v>726921</v>
      </c>
      <c r="X49" t="s">
        <v>67</v>
      </c>
    </row>
    <row r="50" spans="2:24" x14ac:dyDescent="0.55000000000000004">
      <c r="B50" s="2" t="s">
        <v>8</v>
      </c>
      <c r="C50" s="77">
        <v>20756</v>
      </c>
      <c r="D50" s="17">
        <f t="shared" si="9"/>
        <v>4.2362814771878407E-2</v>
      </c>
      <c r="E50" s="12">
        <v>20.771963769512432</v>
      </c>
      <c r="F50" s="2">
        <v>0</v>
      </c>
      <c r="G50" s="11">
        <v>0</v>
      </c>
      <c r="H50" s="54">
        <f t="shared" ref="H50:H56" si="10">F50*G50</f>
        <v>0</v>
      </c>
      <c r="I50" s="3">
        <f>C50</f>
        <v>20756</v>
      </c>
      <c r="J50" s="11">
        <f>E50</f>
        <v>20.771963769512432</v>
      </c>
      <c r="K50" s="34">
        <f t="shared" ref="K50:K56" si="11">I50*J50</f>
        <v>431142.88000000006</v>
      </c>
      <c r="L50" s="20">
        <f>C50*$C$20</f>
        <v>4151.2</v>
      </c>
      <c r="M50" s="11">
        <f>$C$19</f>
        <v>4.92</v>
      </c>
      <c r="N50" s="54">
        <f t="shared" ref="N50:N56" si="12">L50*M50</f>
        <v>20423.903999999999</v>
      </c>
      <c r="O50" s="10">
        <f>C50*(1-$C$20)</f>
        <v>16604.8</v>
      </c>
      <c r="P50" s="11">
        <f>E50</f>
        <v>20.771963769512432</v>
      </c>
      <c r="Q50" s="34">
        <f t="shared" ref="Q50:Q56" si="13">O50*P50</f>
        <v>344914.304</v>
      </c>
      <c r="R50" s="20">
        <f t="shared" ref="R50:R56" si="14">C50</f>
        <v>20756</v>
      </c>
      <c r="S50" s="11">
        <f>$C$18</f>
        <v>4.5</v>
      </c>
      <c r="T50" s="54">
        <f t="shared" ref="T50:T56" si="15">R50*S50</f>
        <v>93402</v>
      </c>
      <c r="U50" s="10"/>
      <c r="V50" s="11"/>
      <c r="W50" s="34">
        <f t="shared" ref="W50:W56" si="16">U50*V50</f>
        <v>0</v>
      </c>
    </row>
    <row r="51" spans="2:24" x14ac:dyDescent="0.55000000000000004">
      <c r="B51" s="2" t="s">
        <v>1</v>
      </c>
      <c r="C51" s="77">
        <v>143989</v>
      </c>
      <c r="D51" s="17">
        <f t="shared" si="9"/>
        <v>0.29388029178011177</v>
      </c>
      <c r="E51" s="12">
        <v>7.2518803519713311</v>
      </c>
      <c r="F51" s="2">
        <v>0</v>
      </c>
      <c r="G51" s="11">
        <v>0</v>
      </c>
      <c r="H51" s="54">
        <f t="shared" si="10"/>
        <v>0</v>
      </c>
      <c r="I51" s="3">
        <f>C51</f>
        <v>143989</v>
      </c>
      <c r="J51" s="11">
        <f>E51</f>
        <v>7.2518803519713311</v>
      </c>
      <c r="K51" s="34">
        <f t="shared" si="11"/>
        <v>1044191</v>
      </c>
      <c r="L51" s="20">
        <f>C51*$C$20</f>
        <v>28797.800000000003</v>
      </c>
      <c r="M51" s="11">
        <f t="shared" ref="M51:M56" si="17">$C$19</f>
        <v>4.92</v>
      </c>
      <c r="N51" s="54">
        <f t="shared" si="12"/>
        <v>141685.17600000001</v>
      </c>
      <c r="O51" s="10">
        <f>C51*(1-$C$20)</f>
        <v>115191.20000000001</v>
      </c>
      <c r="P51" s="11">
        <f>E51</f>
        <v>7.2518803519713311</v>
      </c>
      <c r="Q51" s="34">
        <f t="shared" si="13"/>
        <v>835352.8</v>
      </c>
      <c r="R51" s="20">
        <f t="shared" si="14"/>
        <v>143989</v>
      </c>
      <c r="S51" s="11">
        <f t="shared" ref="S51:S56" si="18">$C$18</f>
        <v>4.5</v>
      </c>
      <c r="T51" s="54">
        <f t="shared" si="15"/>
        <v>647950.5</v>
      </c>
      <c r="U51" s="10"/>
      <c r="V51" s="11"/>
      <c r="W51" s="34">
        <f t="shared" si="16"/>
        <v>0</v>
      </c>
    </row>
    <row r="52" spans="2:24" x14ac:dyDescent="0.55000000000000004">
      <c r="B52" s="2" t="s">
        <v>3</v>
      </c>
      <c r="C52" s="77">
        <v>60054</v>
      </c>
      <c r="D52" s="17">
        <f t="shared" si="9"/>
        <v>0.12256968964686769</v>
      </c>
      <c r="E52" s="12">
        <v>10.37752689246345</v>
      </c>
      <c r="F52" s="2">
        <v>0</v>
      </c>
      <c r="G52" s="11">
        <v>0</v>
      </c>
      <c r="H52" s="54">
        <f t="shared" si="10"/>
        <v>0</v>
      </c>
      <c r="I52" s="3">
        <f>C52</f>
        <v>60054</v>
      </c>
      <c r="J52" s="11">
        <f>E52</f>
        <v>10.37752689246345</v>
      </c>
      <c r="K52" s="34">
        <f t="shared" si="11"/>
        <v>623212</v>
      </c>
      <c r="L52" s="20">
        <f>C52*$C$20</f>
        <v>12010.800000000001</v>
      </c>
      <c r="M52" s="11">
        <f t="shared" si="17"/>
        <v>4.92</v>
      </c>
      <c r="N52" s="54">
        <f t="shared" si="12"/>
        <v>59093.136000000006</v>
      </c>
      <c r="O52" s="10">
        <f>C52*(1-$C$20)</f>
        <v>48043.200000000004</v>
      </c>
      <c r="P52" s="11">
        <f>E52</f>
        <v>10.37752689246345</v>
      </c>
      <c r="Q52" s="34">
        <f t="shared" si="13"/>
        <v>498569.60000000009</v>
      </c>
      <c r="R52" s="20">
        <f t="shared" si="14"/>
        <v>60054</v>
      </c>
      <c r="S52" s="11">
        <f t="shared" si="18"/>
        <v>4.5</v>
      </c>
      <c r="T52" s="54">
        <f t="shared" si="15"/>
        <v>270243</v>
      </c>
      <c r="U52" s="10"/>
      <c r="V52" s="11"/>
      <c r="W52" s="34">
        <f t="shared" si="16"/>
        <v>0</v>
      </c>
    </row>
    <row r="53" spans="2:24" x14ac:dyDescent="0.55000000000000004">
      <c r="B53" s="2" t="s">
        <v>9</v>
      </c>
      <c r="C53" s="77">
        <v>102141</v>
      </c>
      <c r="D53" s="17">
        <f t="shared" si="9"/>
        <v>0.20846888917009213</v>
      </c>
      <c r="E53" s="12">
        <v>5.3792110905512969</v>
      </c>
      <c r="F53" s="2">
        <v>0</v>
      </c>
      <c r="G53" s="11">
        <v>0</v>
      </c>
      <c r="H53" s="54">
        <f t="shared" si="10"/>
        <v>0</v>
      </c>
      <c r="I53" s="3">
        <f>C53</f>
        <v>102141</v>
      </c>
      <c r="J53" s="11">
        <f>E53</f>
        <v>5.3792110905512969</v>
      </c>
      <c r="K53" s="34">
        <f t="shared" si="11"/>
        <v>549438</v>
      </c>
      <c r="L53" s="2">
        <v>0</v>
      </c>
      <c r="M53" s="11">
        <v>0</v>
      </c>
      <c r="N53" s="54">
        <f t="shared" si="12"/>
        <v>0</v>
      </c>
      <c r="O53" s="10">
        <f>C53</f>
        <v>102141</v>
      </c>
      <c r="P53" s="11">
        <f>E53</f>
        <v>5.3792110905512969</v>
      </c>
      <c r="Q53" s="34">
        <f t="shared" si="13"/>
        <v>549438</v>
      </c>
      <c r="R53" s="20">
        <f t="shared" si="14"/>
        <v>102141</v>
      </c>
      <c r="S53" s="11">
        <f t="shared" si="18"/>
        <v>4.5</v>
      </c>
      <c r="T53" s="54">
        <f t="shared" si="15"/>
        <v>459634.5</v>
      </c>
      <c r="U53" s="3"/>
      <c r="V53" s="11"/>
      <c r="W53" s="34">
        <f t="shared" si="16"/>
        <v>0</v>
      </c>
      <c r="X53" t="s">
        <v>48</v>
      </c>
    </row>
    <row r="54" spans="2:24" x14ac:dyDescent="0.55000000000000004">
      <c r="B54" s="2" t="s">
        <v>10</v>
      </c>
      <c r="C54" s="77">
        <v>708</v>
      </c>
      <c r="D54" s="17">
        <f t="shared" si="9"/>
        <v>1.4450218181966618E-3</v>
      </c>
      <c r="E54" s="12">
        <v>11.016949152542374</v>
      </c>
      <c r="F54" s="2">
        <f>C54</f>
        <v>708</v>
      </c>
      <c r="G54" s="28">
        <f>$C$21</f>
        <v>8.83</v>
      </c>
      <c r="H54" s="54">
        <f>F54*G54</f>
        <v>6251.64</v>
      </c>
      <c r="I54" s="3">
        <v>0</v>
      </c>
      <c r="J54" s="11"/>
      <c r="K54" s="34">
        <f t="shared" si="11"/>
        <v>0</v>
      </c>
      <c r="L54" s="79">
        <f>C54</f>
        <v>708</v>
      </c>
      <c r="M54" s="11">
        <f t="shared" si="17"/>
        <v>4.92</v>
      </c>
      <c r="N54" s="54">
        <f t="shared" si="12"/>
        <v>3483.36</v>
      </c>
      <c r="O54" s="10">
        <v>0</v>
      </c>
      <c r="P54" s="11">
        <v>0</v>
      </c>
      <c r="Q54" s="34">
        <f t="shared" si="13"/>
        <v>0</v>
      </c>
      <c r="R54" s="20">
        <f t="shared" si="14"/>
        <v>708</v>
      </c>
      <c r="S54" s="11">
        <f t="shared" si="18"/>
        <v>4.5</v>
      </c>
      <c r="T54" s="54">
        <f t="shared" si="15"/>
        <v>3186</v>
      </c>
      <c r="U54" s="3"/>
      <c r="V54" s="11"/>
      <c r="W54" s="34">
        <f t="shared" si="16"/>
        <v>0</v>
      </c>
      <c r="X54" t="s">
        <v>49</v>
      </c>
    </row>
    <row r="55" spans="2:24" x14ac:dyDescent="0.55000000000000004">
      <c r="B55" s="2" t="s">
        <v>11</v>
      </c>
      <c r="C55" s="77">
        <v>241</v>
      </c>
      <c r="D55" s="17">
        <f t="shared" si="9"/>
        <v>4.9187889574208398E-4</v>
      </c>
      <c r="E55" s="12">
        <v>37.854771784232362</v>
      </c>
      <c r="F55" s="2">
        <f t="shared" ref="F55:F56" si="19">C55</f>
        <v>241</v>
      </c>
      <c r="G55" s="28">
        <f t="shared" ref="G55:G56" si="20">$C$21</f>
        <v>8.83</v>
      </c>
      <c r="H55" s="54">
        <f t="shared" si="10"/>
        <v>2128.0300000000002</v>
      </c>
      <c r="I55" s="3">
        <v>0</v>
      </c>
      <c r="J55" s="11"/>
      <c r="K55" s="34">
        <f t="shared" si="11"/>
        <v>0</v>
      </c>
      <c r="L55" s="79">
        <f>C55</f>
        <v>241</v>
      </c>
      <c r="M55" s="11">
        <f t="shared" si="17"/>
        <v>4.92</v>
      </c>
      <c r="N55" s="54">
        <f t="shared" si="12"/>
        <v>1185.72</v>
      </c>
      <c r="O55" s="10">
        <v>0</v>
      </c>
      <c r="P55" s="11">
        <v>0</v>
      </c>
      <c r="Q55" s="34">
        <f t="shared" si="13"/>
        <v>0</v>
      </c>
      <c r="R55" s="20">
        <f t="shared" si="14"/>
        <v>241</v>
      </c>
      <c r="S55" s="11">
        <f t="shared" si="18"/>
        <v>4.5</v>
      </c>
      <c r="T55" s="54">
        <f t="shared" si="15"/>
        <v>1084.5</v>
      </c>
      <c r="U55" s="3"/>
      <c r="V55" s="11"/>
      <c r="W55" s="34">
        <f t="shared" si="16"/>
        <v>0</v>
      </c>
      <c r="X55" t="s">
        <v>49</v>
      </c>
    </row>
    <row r="56" spans="2:24" ht="14.7" thickBot="1" x14ac:dyDescent="0.6">
      <c r="B56" s="2" t="s">
        <v>12</v>
      </c>
      <c r="C56" s="77">
        <v>531</v>
      </c>
      <c r="D56" s="17">
        <f t="shared" si="9"/>
        <v>1.0837663636474963E-3</v>
      </c>
      <c r="E56" s="12">
        <v>10.734463276836157</v>
      </c>
      <c r="F56" s="2">
        <f t="shared" si="19"/>
        <v>531</v>
      </c>
      <c r="G56" s="28">
        <f t="shared" si="20"/>
        <v>8.83</v>
      </c>
      <c r="H56" s="54">
        <f t="shared" si="10"/>
        <v>4688.7300000000005</v>
      </c>
      <c r="I56" s="3">
        <v>0</v>
      </c>
      <c r="J56" s="11"/>
      <c r="K56" s="34">
        <f t="shared" si="11"/>
        <v>0</v>
      </c>
      <c r="L56" s="79">
        <f>C56</f>
        <v>531</v>
      </c>
      <c r="M56" s="11">
        <f t="shared" si="17"/>
        <v>4.92</v>
      </c>
      <c r="N56" s="54">
        <f t="shared" si="12"/>
        <v>2612.52</v>
      </c>
      <c r="O56" s="10">
        <v>0</v>
      </c>
      <c r="P56" s="11">
        <v>0</v>
      </c>
      <c r="Q56" s="34">
        <f t="shared" si="13"/>
        <v>0</v>
      </c>
      <c r="R56" s="20">
        <f t="shared" si="14"/>
        <v>531</v>
      </c>
      <c r="S56" s="11">
        <f t="shared" si="18"/>
        <v>4.5</v>
      </c>
      <c r="T56" s="54">
        <f t="shared" si="15"/>
        <v>2389.5</v>
      </c>
      <c r="U56" s="3"/>
      <c r="V56" s="11"/>
      <c r="W56" s="34">
        <f t="shared" si="16"/>
        <v>0</v>
      </c>
      <c r="X56" t="s">
        <v>49</v>
      </c>
    </row>
    <row r="57" spans="2:24" ht="14.7" thickBot="1" x14ac:dyDescent="0.6">
      <c r="B57" s="118" t="s">
        <v>2</v>
      </c>
      <c r="C57" s="119">
        <f>SUM(C49:C56)</f>
        <v>489958</v>
      </c>
      <c r="D57" s="120">
        <f>SUM(D49:D56)</f>
        <v>0.99999999999999989</v>
      </c>
      <c r="E57" s="121">
        <f>+((C49*E49)+(C50*E50)+(C51*E51)+(C52*E52)+(C53*E53)+(C54*E54)+(C55*E55)+(C56*E56))/C57</f>
        <v>8.3617368835696091</v>
      </c>
      <c r="F57" s="122">
        <f>SUM(F49:F56)</f>
        <v>1480</v>
      </c>
      <c r="G57" s="123"/>
      <c r="H57" s="124">
        <f>SUM(H49:H56)</f>
        <v>13068.400000000001</v>
      </c>
      <c r="I57" s="123">
        <f>SUM(I49:I53)</f>
        <v>488478</v>
      </c>
      <c r="J57" s="123"/>
      <c r="K57" s="125">
        <f>SUM(K49:K56)</f>
        <v>4074276.879999999</v>
      </c>
      <c r="L57" s="115">
        <f>SUM(L49:L56)</f>
        <v>46439.8</v>
      </c>
      <c r="M57" s="112"/>
      <c r="N57" s="113">
        <f>SUM(N49:N56)</f>
        <v>228483.81599999999</v>
      </c>
      <c r="O57" s="116">
        <f>SUM(O49:O56)</f>
        <v>443518.2</v>
      </c>
      <c r="P57" s="117"/>
      <c r="Q57" s="114">
        <f>SUM(Q49:Q56)</f>
        <v>3023041.6639999999</v>
      </c>
      <c r="R57" s="130">
        <f>SUM(R49:R56)</f>
        <v>328420</v>
      </c>
      <c r="S57" s="131"/>
      <c r="T57" s="132">
        <f>SUM(T49:T56)</f>
        <v>1477890</v>
      </c>
      <c r="U57" s="133">
        <f>SUM(U49:U56)</f>
        <v>161538</v>
      </c>
      <c r="V57" s="131"/>
      <c r="W57" s="134">
        <f>SUM(W49:W56)</f>
        <v>726921</v>
      </c>
    </row>
    <row r="58" spans="2:24" x14ac:dyDescent="0.55000000000000004">
      <c r="E58" s="78"/>
      <c r="G58" s="18"/>
    </row>
    <row r="59" spans="2:24" x14ac:dyDescent="0.55000000000000004">
      <c r="F59" s="44" t="s">
        <v>44</v>
      </c>
      <c r="G59" s="44"/>
      <c r="H59" s="44"/>
      <c r="I59" s="44"/>
      <c r="J59" s="44"/>
      <c r="K59" s="7"/>
      <c r="L59" s="126" t="s">
        <v>45</v>
      </c>
      <c r="M59" s="126"/>
      <c r="N59" s="126"/>
      <c r="O59" s="126"/>
      <c r="P59" s="126"/>
      <c r="Q59" s="7"/>
      <c r="R59" s="128" t="s">
        <v>46</v>
      </c>
      <c r="S59" s="128"/>
      <c r="T59" s="25"/>
      <c r="U59" s="25"/>
    </row>
    <row r="60" spans="2:24" x14ac:dyDescent="0.55000000000000004">
      <c r="F60" s="45">
        <f>(H57+K57)/(F57+I57)</f>
        <v>8.342236028394268</v>
      </c>
      <c r="G60" s="45"/>
      <c r="H60" s="45"/>
      <c r="I60" s="45"/>
      <c r="J60" s="45"/>
      <c r="K60" s="13"/>
      <c r="L60" s="127">
        <f>(N57+Q57)/(L57+O57)</f>
        <v>6.6363351144383804</v>
      </c>
      <c r="M60" s="127"/>
      <c r="N60" s="127"/>
      <c r="O60" s="127"/>
      <c r="P60" s="127"/>
      <c r="Q60" s="13"/>
      <c r="R60" s="129">
        <f>(T57+W57)/(R57+U57)</f>
        <v>4.5</v>
      </c>
      <c r="S60" s="25"/>
      <c r="T60" s="25"/>
      <c r="U60" s="25"/>
    </row>
    <row r="61" spans="2:24" x14ac:dyDescent="0.55000000000000004">
      <c r="F61" s="9"/>
      <c r="G61" s="9"/>
      <c r="H61" s="9"/>
      <c r="I61" s="9"/>
      <c r="J61" s="9"/>
    </row>
    <row r="67" spans="1:47" x14ac:dyDescent="0.55000000000000004">
      <c r="X67" s="70"/>
      <c r="Y67" s="70"/>
      <c r="Z67" s="70"/>
      <c r="AA67" s="70"/>
      <c r="AB67" s="70"/>
    </row>
    <row r="68" spans="1:47" x14ac:dyDescent="0.55000000000000004">
      <c r="X68" s="70"/>
      <c r="Y68" s="70"/>
      <c r="Z68" s="70"/>
      <c r="AA68" s="70"/>
      <c r="AB68" s="70"/>
    </row>
    <row r="69" spans="1:47" ht="33.6" customHeight="1" x14ac:dyDescent="0.7">
      <c r="B69" s="15" t="s">
        <v>101</v>
      </c>
      <c r="X69" s="70"/>
      <c r="Y69" s="70"/>
      <c r="Z69" s="70"/>
      <c r="AA69" s="70"/>
      <c r="AB69" s="70"/>
    </row>
    <row r="70" spans="1:47" ht="30.75" customHeight="1" x14ac:dyDescent="0.55000000000000004">
      <c r="B70" s="8" t="s">
        <v>35</v>
      </c>
      <c r="R70" s="50"/>
      <c r="S70" s="50"/>
      <c r="T70" s="50"/>
      <c r="V70" s="49"/>
      <c r="W70" s="49"/>
      <c r="X70" s="70"/>
      <c r="Y70" s="70"/>
      <c r="Z70" s="70"/>
      <c r="AA70" s="70"/>
      <c r="AB70" s="70"/>
      <c r="AD70" s="70"/>
      <c r="AE70" s="69"/>
      <c r="AF70" s="70"/>
      <c r="AG70" s="70"/>
    </row>
    <row r="71" spans="1:47" s="61" customFormat="1" ht="84.6" customHeight="1" x14ac:dyDescent="0.55000000000000004">
      <c r="A71" s="81"/>
      <c r="B71" s="66" t="s">
        <v>50</v>
      </c>
      <c r="C71" s="66" t="s">
        <v>86</v>
      </c>
      <c r="D71" s="66" t="s">
        <v>87</v>
      </c>
      <c r="E71" s="66" t="s">
        <v>88</v>
      </c>
      <c r="F71" s="66" t="s">
        <v>89</v>
      </c>
      <c r="G71" s="66" t="s">
        <v>99</v>
      </c>
      <c r="H71" s="5" t="s">
        <v>90</v>
      </c>
      <c r="I71" s="5" t="s">
        <v>91</v>
      </c>
      <c r="J71" s="5" t="s">
        <v>92</v>
      </c>
      <c r="K71" s="5" t="s">
        <v>93</v>
      </c>
      <c r="L71" s="5" t="s">
        <v>94</v>
      </c>
      <c r="M71" s="5" t="s">
        <v>95</v>
      </c>
      <c r="N71" s="5" t="s">
        <v>96</v>
      </c>
      <c r="O71" s="5" t="s">
        <v>97</v>
      </c>
      <c r="P71" s="5" t="s">
        <v>98</v>
      </c>
      <c r="Q71" s="66" t="s">
        <v>51</v>
      </c>
      <c r="R71" s="5" t="s">
        <v>52</v>
      </c>
      <c r="S71" s="66" t="s">
        <v>53</v>
      </c>
      <c r="T71" s="5" t="s">
        <v>18</v>
      </c>
      <c r="U71" s="5" t="s">
        <v>56</v>
      </c>
      <c r="V71" s="5" t="s">
        <v>54</v>
      </c>
      <c r="W71" s="66" t="s">
        <v>57</v>
      </c>
      <c r="X71" s="66" t="s">
        <v>55</v>
      </c>
      <c r="Y71" s="70"/>
      <c r="Z71" s="70"/>
      <c r="AA71" s="70"/>
      <c r="AB71" s="70"/>
    </row>
    <row r="72" spans="1:47" ht="28.8" x14ac:dyDescent="0.55000000000000004">
      <c r="A72" s="85">
        <v>1</v>
      </c>
      <c r="B72" s="1" t="s">
        <v>19</v>
      </c>
      <c r="C72" s="23">
        <v>0</v>
      </c>
      <c r="D72" s="23">
        <f>+$C$16</f>
        <v>8.36</v>
      </c>
      <c r="E72" s="23">
        <v>0</v>
      </c>
      <c r="F72" s="23">
        <f>$C$24*$C$25</f>
        <v>18.573720479999999</v>
      </c>
      <c r="G72" s="82">
        <f t="shared" ref="G72:G77" si="21">SUM(C72:F72)</f>
        <v>26.933720479999998</v>
      </c>
      <c r="H72" s="21">
        <f t="shared" ref="H72:P77" si="22">$D72*(1+$C$28)^(H$42-1)+$F72*(1+$C$27)^(H$42-1)</f>
        <v>27.574532094399999</v>
      </c>
      <c r="I72" s="21">
        <f t="shared" si="22"/>
        <v>28.232896057231997</v>
      </c>
      <c r="J72" s="21">
        <f t="shared" si="22"/>
        <v>28.909322218948958</v>
      </c>
      <c r="K72" s="21">
        <f t="shared" si="22"/>
        <v>29.604335558317423</v>
      </c>
      <c r="L72" s="21">
        <f t="shared" si="22"/>
        <v>30.318476634594944</v>
      </c>
      <c r="M72" s="21">
        <f t="shared" si="22"/>
        <v>31.052302053256078</v>
      </c>
      <c r="N72" s="21">
        <f t="shared" si="22"/>
        <v>31.806384945673273</v>
      </c>
      <c r="O72" s="21">
        <f t="shared" si="22"/>
        <v>32.58131546317118</v>
      </c>
      <c r="P72" s="21">
        <f t="shared" si="22"/>
        <v>33.377701285885301</v>
      </c>
      <c r="Q72" s="82">
        <f t="shared" ref="Q72:Q77" si="23">SUM(G72:P72)</f>
        <v>300.39098679147918</v>
      </c>
      <c r="R72" s="74">
        <f>+G72*$C$15/1000000</f>
        <v>13.196391818939839</v>
      </c>
      <c r="S72" s="83">
        <f t="shared" ref="S72:S77" si="24">+Q72*$C$15/1000000</f>
        <v>147.17896710637956</v>
      </c>
      <c r="T72" s="176">
        <v>7.0945945945945903</v>
      </c>
      <c r="U72" s="175">
        <f t="shared" ref="U72:U77" si="25">+R72/T72</f>
        <v>1.8600628468600926</v>
      </c>
      <c r="V72" s="9">
        <f t="shared" ref="V72:V77" si="26">RANK(U72, $U$72:$U$77, 1)</f>
        <v>2</v>
      </c>
      <c r="W72" s="82">
        <f t="shared" ref="W72:W77" si="27">+S72/T72</f>
        <v>20.745225839756369</v>
      </c>
      <c r="X72" s="186">
        <f t="shared" ref="X72:X77" si="28">RANK(W72, $W$72:$W$77, 1)</f>
        <v>3</v>
      </c>
      <c r="Y72" s="70"/>
      <c r="Z72" s="70"/>
      <c r="AA72" s="70"/>
      <c r="AB72" s="70"/>
      <c r="AC72" s="61"/>
      <c r="AD72" s="61"/>
      <c r="AE72" s="21"/>
      <c r="AF72" s="21"/>
      <c r="AG72" s="21"/>
      <c r="AH72" s="21"/>
      <c r="AI72" s="21"/>
      <c r="AJ72" s="21"/>
      <c r="AK72" s="21"/>
      <c r="AL72" s="21"/>
      <c r="AM72" s="21"/>
      <c r="AN72" s="21"/>
      <c r="AO72" s="21"/>
      <c r="AP72" s="21"/>
      <c r="AQ72" s="21"/>
      <c r="AR72" s="21"/>
      <c r="AS72" s="21"/>
    </row>
    <row r="73" spans="1:47" ht="28.8" x14ac:dyDescent="0.55000000000000004">
      <c r="A73" s="85">
        <v>2</v>
      </c>
      <c r="B73" s="87" t="s">
        <v>20</v>
      </c>
      <c r="C73" s="23">
        <f>D73/$C$17*(F94/$C$15)</f>
        <v>0.16789800750444309</v>
      </c>
      <c r="D73" s="23">
        <f>F97</f>
        <v>8.3374633744116817</v>
      </c>
      <c r="E73" s="23">
        <f>+($C$23*F94)/$C$15</f>
        <v>0.22407308381534746</v>
      </c>
      <c r="F73" s="23">
        <f>$C$24*$C$25-($C$24*$C$25*$C$26)</f>
        <v>9.2868602399999993</v>
      </c>
      <c r="G73" s="82">
        <f t="shared" si="21"/>
        <v>18.016294705731472</v>
      </c>
      <c r="H73" s="23">
        <f t="shared" si="22"/>
        <v>17.986304055355799</v>
      </c>
      <c r="I73" s="23">
        <f t="shared" si="22"/>
        <v>18.357476416853356</v>
      </c>
      <c r="J73" s="23">
        <f t="shared" si="22"/>
        <v>18.738099781594208</v>
      </c>
      <c r="K73" s="23">
        <f t="shared" si="22"/>
        <v>19.128440837999641</v>
      </c>
      <c r="L73" s="23">
        <f t="shared" si="22"/>
        <v>19.528774106726807</v>
      </c>
      <c r="M73" s="23">
        <f t="shared" si="22"/>
        <v>19.939382173951671</v>
      </c>
      <c r="N73" s="23">
        <f t="shared" si="22"/>
        <v>20.360555931633499</v>
      </c>
      <c r="O73" s="23">
        <f t="shared" si="22"/>
        <v>20.792594824970422</v>
      </c>
      <c r="P73" s="23">
        <f t="shared" si="22"/>
        <v>21.235807107261333</v>
      </c>
      <c r="Q73" s="82">
        <f t="shared" si="23"/>
        <v>194.08372994207821</v>
      </c>
      <c r="R73" s="88">
        <f t="shared" ref="R73:R77" si="29">+G73*$C$15/1000000</f>
        <v>8.8272277214307806</v>
      </c>
      <c r="S73" s="83">
        <f t="shared" si="24"/>
        <v>95.092876154960749</v>
      </c>
      <c r="T73" s="71">
        <v>7.5608108108108105</v>
      </c>
      <c r="U73" s="23">
        <f t="shared" si="25"/>
        <v>1.1674975002428558</v>
      </c>
      <c r="V73" s="19">
        <f t="shared" si="26"/>
        <v>1</v>
      </c>
      <c r="W73" s="82">
        <f t="shared" si="27"/>
        <v>12.577073879297759</v>
      </c>
      <c r="X73" s="186">
        <f t="shared" si="28"/>
        <v>1</v>
      </c>
      <c r="Y73" s="70"/>
      <c r="Z73" s="70"/>
      <c r="AA73" s="70"/>
      <c r="AB73" s="70"/>
      <c r="AC73" s="61"/>
      <c r="AD73" s="61"/>
      <c r="AE73" s="21"/>
      <c r="AF73" s="21"/>
      <c r="AG73" s="21"/>
      <c r="AH73" s="21"/>
      <c r="AI73" s="21"/>
      <c r="AJ73" s="21"/>
      <c r="AK73" s="21"/>
      <c r="AL73" s="21"/>
      <c r="AM73" s="21"/>
      <c r="AN73" s="21"/>
      <c r="AO73" s="21"/>
      <c r="AP73" s="21"/>
      <c r="AQ73" s="21"/>
      <c r="AR73" s="21"/>
      <c r="AS73" s="21"/>
    </row>
    <row r="74" spans="1:47" ht="50.5" customHeight="1" x14ac:dyDescent="0.55000000000000004">
      <c r="A74" s="85">
        <v>3</v>
      </c>
      <c r="B74" s="1" t="s">
        <v>21</v>
      </c>
      <c r="C74" s="23">
        <f>D74/$C$17*(L94/$C$15)</f>
        <v>4.8385611781742144</v>
      </c>
      <c r="D74" s="23">
        <f>L97</f>
        <v>7.1192514786981729</v>
      </c>
      <c r="E74" s="23">
        <f>+($C$23*L94)/$C$15</f>
        <v>7.5624060184750546</v>
      </c>
      <c r="F74" s="23">
        <f>$C$24*$C$25-($C$24*$C$25*$C$26)</f>
        <v>9.2868602399999993</v>
      </c>
      <c r="G74" s="84">
        <f t="shared" si="21"/>
        <v>28.807078915347443</v>
      </c>
      <c r="H74" s="21">
        <f t="shared" si="22"/>
        <v>16.755910040685155</v>
      </c>
      <c r="I74" s="21">
        <f t="shared" si="22"/>
        <v>17.114778462036004</v>
      </c>
      <c r="J74" s="21">
        <f t="shared" si="22"/>
        <v>17.482974847228686</v>
      </c>
      <c r="K74" s="21">
        <f t="shared" si="22"/>
        <v>17.86076465429046</v>
      </c>
      <c r="L74" s="21">
        <f t="shared" si="22"/>
        <v>18.248421161180538</v>
      </c>
      <c r="M74" s="21">
        <f t="shared" si="22"/>
        <v>18.646225698949934</v>
      </c>
      <c r="N74" s="21">
        <f t="shared" si="22"/>
        <v>19.05446789188175</v>
      </c>
      <c r="O74" s="21">
        <f t="shared" si="22"/>
        <v>19.473445904821155</v>
      </c>
      <c r="P74" s="21">
        <f t="shared" si="22"/>
        <v>19.903466697910574</v>
      </c>
      <c r="Q74" s="82">
        <f t="shared" si="23"/>
        <v>193.34753427433171</v>
      </c>
      <c r="R74" s="74">
        <f t="shared" si="29"/>
        <v>14.114258771205801</v>
      </c>
      <c r="S74" s="83">
        <f t="shared" si="24"/>
        <v>94.732171197983007</v>
      </c>
      <c r="T74" s="176">
        <v>7.1216216216216219</v>
      </c>
      <c r="U74" s="175">
        <f t="shared" si="25"/>
        <v>1.9818883284046096</v>
      </c>
      <c r="V74" s="9">
        <f t="shared" si="26"/>
        <v>3</v>
      </c>
      <c r="W74" s="82">
        <f t="shared" si="27"/>
        <v>13.302050604650365</v>
      </c>
      <c r="X74" s="186">
        <f t="shared" si="28"/>
        <v>2</v>
      </c>
      <c r="Y74" s="70"/>
      <c r="Z74" s="70"/>
      <c r="AA74" s="70"/>
      <c r="AB74" s="70"/>
      <c r="AC74" s="61"/>
      <c r="AD74" s="61"/>
      <c r="AE74" s="21"/>
      <c r="AF74" s="21"/>
      <c r="AG74" s="21"/>
      <c r="AH74" s="21"/>
      <c r="AI74" s="21"/>
      <c r="AJ74" s="21"/>
      <c r="AK74" s="21"/>
      <c r="AL74" s="21"/>
      <c r="AM74" s="21"/>
      <c r="AN74" s="21"/>
      <c r="AO74" s="21"/>
      <c r="AP74" s="21"/>
      <c r="AQ74" s="21"/>
      <c r="AR74" s="21"/>
      <c r="AS74" s="21"/>
    </row>
    <row r="75" spans="1:47" ht="36" customHeight="1" x14ac:dyDescent="0.55000000000000004">
      <c r="A75" s="85">
        <v>4</v>
      </c>
      <c r="B75" s="87" t="s">
        <v>22</v>
      </c>
      <c r="C75" s="23">
        <f>D75/$C$17*(R94/$C$15)</f>
        <v>21.183591246596649</v>
      </c>
      <c r="D75" s="59">
        <f>R97</f>
        <v>4.5</v>
      </c>
      <c r="E75" s="23">
        <f>+($C$23*R94)/$C$15</f>
        <v>52.37995995575131</v>
      </c>
      <c r="F75" s="23">
        <f>$C$24*$C$25</f>
        <v>18.573720479999999</v>
      </c>
      <c r="G75" s="82">
        <f t="shared" si="21"/>
        <v>96.637271682347944</v>
      </c>
      <c r="H75" s="23">
        <f t="shared" si="22"/>
        <v>23.675932094399997</v>
      </c>
      <c r="I75" s="23">
        <f t="shared" si="22"/>
        <v>24.295310057231998</v>
      </c>
      <c r="J75" s="23">
        <f t="shared" si="22"/>
        <v>24.932360358948959</v>
      </c>
      <c r="K75" s="23">
        <f t="shared" si="22"/>
        <v>25.587604079717423</v>
      </c>
      <c r="L75" s="23">
        <f t="shared" si="22"/>
        <v>26.261577841208947</v>
      </c>
      <c r="M75" s="23">
        <f t="shared" si="22"/>
        <v>26.954834271936214</v>
      </c>
      <c r="N75" s="23">
        <f t="shared" si="22"/>
        <v>27.667942486540213</v>
      </c>
      <c r="O75" s="23">
        <f t="shared" si="22"/>
        <v>28.401488579446788</v>
      </c>
      <c r="P75" s="23">
        <f t="shared" si="22"/>
        <v>29.156076133323666</v>
      </c>
      <c r="Q75" s="82">
        <f t="shared" si="23"/>
        <v>333.57039758510211</v>
      </c>
      <c r="R75" s="88">
        <f t="shared" si="29"/>
        <v>47.348204358939832</v>
      </c>
      <c r="S75" s="83">
        <f t="shared" si="24"/>
        <v>163.43548486000148</v>
      </c>
      <c r="T75" s="71">
        <v>3.4662162162162162</v>
      </c>
      <c r="U75" s="23">
        <f t="shared" si="25"/>
        <v>13.659910809206814</v>
      </c>
      <c r="V75" s="19">
        <f t="shared" si="26"/>
        <v>6</v>
      </c>
      <c r="W75" s="82">
        <f t="shared" si="27"/>
        <v>47.150978088265532</v>
      </c>
      <c r="X75" s="186">
        <f t="shared" si="28"/>
        <v>6</v>
      </c>
      <c r="Y75" s="70"/>
      <c r="Z75" s="70"/>
      <c r="AA75" s="70"/>
      <c r="AB75" s="70"/>
      <c r="AC75" s="61"/>
      <c r="AD75" s="61"/>
      <c r="AE75" s="21"/>
      <c r="AF75" s="21"/>
      <c r="AG75" s="21"/>
      <c r="AH75" s="21"/>
      <c r="AI75" s="21"/>
      <c r="AJ75" s="21"/>
      <c r="AK75" s="21"/>
      <c r="AL75" s="21"/>
      <c r="AM75" s="21"/>
      <c r="AN75" s="21"/>
      <c r="AO75" s="21"/>
      <c r="AP75" s="21"/>
      <c r="AQ75" s="21"/>
      <c r="AR75" s="21"/>
      <c r="AS75" s="21"/>
    </row>
    <row r="76" spans="1:47" ht="28.8" x14ac:dyDescent="0.55000000000000004">
      <c r="A76" s="85">
        <v>5</v>
      </c>
      <c r="B76" s="1" t="s">
        <v>23</v>
      </c>
      <c r="C76" s="23">
        <f>D76/$C$17*(R94/$C$15)</f>
        <v>21.183591246596649</v>
      </c>
      <c r="D76" s="23">
        <f>R97</f>
        <v>4.5</v>
      </c>
      <c r="E76" s="23">
        <f>+($C$23*R94)/$C$15</f>
        <v>52.37995995575131</v>
      </c>
      <c r="F76" s="23">
        <f>$C$24*$C$25-($C$24*$C$25*$C$26)</f>
        <v>9.2868602399999993</v>
      </c>
      <c r="G76" s="82">
        <f t="shared" si="21"/>
        <v>87.350411442347948</v>
      </c>
      <c r="H76" s="21">
        <f t="shared" si="22"/>
        <v>14.110466047199999</v>
      </c>
      <c r="I76" s="21">
        <f t="shared" si="22"/>
        <v>14.442880028615999</v>
      </c>
      <c r="J76" s="21">
        <f t="shared" si="22"/>
        <v>14.784357429474479</v>
      </c>
      <c r="K76" s="21">
        <f t="shared" si="22"/>
        <v>15.135161062358712</v>
      </c>
      <c r="L76" s="21">
        <f t="shared" si="22"/>
        <v>15.495561533329473</v>
      </c>
      <c r="M76" s="21">
        <f t="shared" si="22"/>
        <v>15.865837474820358</v>
      </c>
      <c r="N76" s="21">
        <f t="shared" si="22"/>
        <v>16.246275785510878</v>
      </c>
      <c r="O76" s="21">
        <f t="shared" si="22"/>
        <v>16.637171877386574</v>
      </c>
      <c r="P76" s="21">
        <f t="shared" si="22"/>
        <v>17.038829930201643</v>
      </c>
      <c r="Q76" s="82">
        <f t="shared" si="23"/>
        <v>227.10695261124607</v>
      </c>
      <c r="R76" s="74">
        <f t="shared" si="29"/>
        <v>42.798032889469916</v>
      </c>
      <c r="S76" s="83">
        <f t="shared" si="24"/>
        <v>111.2728682875009</v>
      </c>
      <c r="T76" s="176">
        <v>4.1554054054054053</v>
      </c>
      <c r="U76" s="175">
        <f t="shared" si="25"/>
        <v>10.299364012425281</v>
      </c>
      <c r="V76" s="9">
        <f t="shared" si="26"/>
        <v>5</v>
      </c>
      <c r="W76" s="82">
        <f t="shared" si="27"/>
        <v>26.777860986260379</v>
      </c>
      <c r="X76" s="186">
        <f t="shared" si="28"/>
        <v>5</v>
      </c>
      <c r="Y76" s="70"/>
      <c r="Z76" s="70"/>
      <c r="AA76" s="70"/>
      <c r="AB76" s="70"/>
      <c r="AC76" s="61"/>
      <c r="AD76" s="61"/>
      <c r="AE76" s="21"/>
      <c r="AF76" s="21"/>
      <c r="AG76" s="21"/>
      <c r="AH76" s="21"/>
      <c r="AI76" s="21"/>
      <c r="AJ76" s="21"/>
      <c r="AK76" s="21"/>
      <c r="AL76" s="21"/>
      <c r="AM76" s="21"/>
      <c r="AN76" s="21"/>
      <c r="AO76" s="21"/>
      <c r="AP76" s="21"/>
      <c r="AQ76" s="21"/>
      <c r="AR76" s="21"/>
      <c r="AS76" s="21"/>
    </row>
    <row r="77" spans="1:47" ht="28.8" x14ac:dyDescent="0.55000000000000004">
      <c r="A77" s="85">
        <v>6</v>
      </c>
      <c r="B77" s="87" t="s">
        <v>24</v>
      </c>
      <c r="C77" s="23">
        <f>D77/$C$17*(R94/$C$15)</f>
        <v>21.183591246596649</v>
      </c>
      <c r="D77" s="23">
        <f>R97</f>
        <v>4.5</v>
      </c>
      <c r="E77" s="23">
        <f>+($C$23*R94)/$C$15</f>
        <v>52.37995995575131</v>
      </c>
      <c r="F77" s="23">
        <f>$C$24*$C$25-($C$24*$C$25*$C$26)</f>
        <v>9.2868602399999993</v>
      </c>
      <c r="G77" s="82">
        <f t="shared" si="21"/>
        <v>87.350411442347948</v>
      </c>
      <c r="H77" s="23">
        <f t="shared" si="22"/>
        <v>14.110466047199999</v>
      </c>
      <c r="I77" s="23">
        <f t="shared" si="22"/>
        <v>14.442880028615999</v>
      </c>
      <c r="J77" s="23">
        <f t="shared" si="22"/>
        <v>14.784357429474479</v>
      </c>
      <c r="K77" s="23">
        <f t="shared" si="22"/>
        <v>15.135161062358712</v>
      </c>
      <c r="L77" s="23">
        <f t="shared" si="22"/>
        <v>15.495561533329473</v>
      </c>
      <c r="M77" s="23">
        <f t="shared" si="22"/>
        <v>15.865837474820358</v>
      </c>
      <c r="N77" s="23">
        <f t="shared" si="22"/>
        <v>16.246275785510878</v>
      </c>
      <c r="O77" s="23">
        <f t="shared" si="22"/>
        <v>16.637171877386574</v>
      </c>
      <c r="P77" s="23">
        <f t="shared" si="22"/>
        <v>17.038829930201643</v>
      </c>
      <c r="Q77" s="82">
        <f t="shared" si="23"/>
        <v>227.10695261124607</v>
      </c>
      <c r="R77" s="88">
        <f t="shared" si="29"/>
        <v>42.798032889469916</v>
      </c>
      <c r="S77" s="83">
        <f t="shared" si="24"/>
        <v>111.2728682875009</v>
      </c>
      <c r="T77" s="71">
        <v>4.2229729729729728</v>
      </c>
      <c r="U77" s="23">
        <f t="shared" si="25"/>
        <v>10.134574188226477</v>
      </c>
      <c r="V77" s="19">
        <f t="shared" si="26"/>
        <v>4</v>
      </c>
      <c r="W77" s="82">
        <f t="shared" si="27"/>
        <v>26.349415210480213</v>
      </c>
      <c r="X77" s="186">
        <f t="shared" si="28"/>
        <v>4</v>
      </c>
      <c r="Y77" s="70"/>
      <c r="Z77" s="70"/>
      <c r="AA77" s="70"/>
      <c r="AB77" s="70"/>
      <c r="AC77" s="61"/>
      <c r="AD77" s="61"/>
      <c r="AE77" s="21"/>
      <c r="AF77" s="21"/>
      <c r="AG77" s="21"/>
      <c r="AH77" s="21"/>
      <c r="AI77" s="21"/>
      <c r="AJ77" s="21"/>
      <c r="AK77" s="21"/>
      <c r="AL77" s="21"/>
      <c r="AM77" s="21"/>
      <c r="AN77" s="21"/>
      <c r="AO77" s="21"/>
      <c r="AP77" s="21"/>
      <c r="AQ77" s="21"/>
      <c r="AR77" s="21"/>
      <c r="AS77" s="21"/>
    </row>
    <row r="78" spans="1:47" x14ac:dyDescent="0.55000000000000004">
      <c r="A78" s="27"/>
      <c r="H78" s="21"/>
      <c r="I78" s="46"/>
      <c r="J78" s="46"/>
      <c r="K78" s="46"/>
      <c r="L78" s="46"/>
      <c r="M78" s="46"/>
      <c r="N78" s="46"/>
      <c r="O78" s="46"/>
      <c r="P78" s="46"/>
      <c r="Q78" s="46"/>
      <c r="R78" s="46"/>
      <c r="S78" s="46"/>
      <c r="T78" s="46"/>
      <c r="U78" s="46"/>
      <c r="V78" s="46"/>
      <c r="W78" s="46"/>
      <c r="X78" s="46"/>
      <c r="Y78" s="21"/>
      <c r="Z78" s="21"/>
      <c r="AA78" s="21"/>
      <c r="AB78" s="21"/>
      <c r="AC78" s="21"/>
      <c r="AD78" s="21"/>
      <c r="AE78" s="21"/>
      <c r="AF78" s="21"/>
      <c r="AG78" s="21"/>
      <c r="AH78" s="21"/>
      <c r="AI78" s="21"/>
      <c r="AJ78" s="21"/>
      <c r="AK78" s="21"/>
      <c r="AL78" s="21"/>
      <c r="AM78" s="21"/>
      <c r="AN78" s="21"/>
      <c r="AO78" s="21"/>
      <c r="AP78" s="21"/>
      <c r="AQ78" s="21"/>
      <c r="AR78" s="21"/>
      <c r="AS78" s="21"/>
      <c r="AT78" s="21"/>
      <c r="AU78" s="21"/>
    </row>
    <row r="79" spans="1:47" x14ac:dyDescent="0.55000000000000004">
      <c r="B79" s="47" t="s">
        <v>47</v>
      </c>
      <c r="C79" s="48"/>
      <c r="D79" s="48"/>
      <c r="E79" s="48"/>
      <c r="F79" s="48"/>
      <c r="G79" s="48">
        <v>1</v>
      </c>
      <c r="H79" s="48">
        <v>2</v>
      </c>
      <c r="I79" s="48">
        <v>3</v>
      </c>
      <c r="J79" s="48">
        <v>4</v>
      </c>
      <c r="K79" s="48">
        <v>5</v>
      </c>
      <c r="L79" s="48">
        <v>6</v>
      </c>
      <c r="M79" s="48">
        <v>7</v>
      </c>
      <c r="N79" s="48">
        <v>8</v>
      </c>
      <c r="O79" s="48">
        <v>9</v>
      </c>
      <c r="P79" s="48">
        <v>10</v>
      </c>
    </row>
    <row r="82" spans="2:24" ht="18.3" x14ac:dyDescent="0.7">
      <c r="B82" s="15" t="s">
        <v>71</v>
      </c>
    </row>
    <row r="83" spans="2:24" ht="14.7" thickBot="1" x14ac:dyDescent="0.6"/>
    <row r="84" spans="2:24" ht="43.2" x14ac:dyDescent="0.55000000000000004">
      <c r="B84" s="184" t="s">
        <v>5</v>
      </c>
      <c r="C84" s="190" t="s">
        <v>69</v>
      </c>
      <c r="D84" s="191"/>
      <c r="E84" s="30" t="s">
        <v>17</v>
      </c>
      <c r="F84" s="192" t="s">
        <v>64</v>
      </c>
      <c r="G84" s="193"/>
      <c r="H84" s="193"/>
      <c r="I84" s="193"/>
      <c r="J84" s="193"/>
      <c r="K84" s="194"/>
      <c r="L84" s="195" t="s">
        <v>65</v>
      </c>
      <c r="M84" s="196"/>
      <c r="N84" s="196"/>
      <c r="O84" s="196"/>
      <c r="P84" s="196"/>
      <c r="Q84" s="197"/>
      <c r="R84" s="198" t="s">
        <v>66</v>
      </c>
      <c r="S84" s="199"/>
      <c r="T84" s="199"/>
      <c r="U84" s="199"/>
      <c r="V84" s="199"/>
      <c r="W84" s="200"/>
    </row>
    <row r="85" spans="2:24" ht="89.1" customHeight="1" thickBot="1" x14ac:dyDescent="0.6">
      <c r="B85" s="4"/>
      <c r="C85" s="31" t="s">
        <v>6</v>
      </c>
      <c r="D85" s="32" t="s">
        <v>7</v>
      </c>
      <c r="E85" s="33" t="s">
        <v>70</v>
      </c>
      <c r="F85" s="56" t="s">
        <v>13</v>
      </c>
      <c r="G85" s="57" t="s">
        <v>14</v>
      </c>
      <c r="H85" s="58" t="s">
        <v>42</v>
      </c>
      <c r="I85" s="37" t="s">
        <v>15</v>
      </c>
      <c r="J85" s="37" t="s">
        <v>16</v>
      </c>
      <c r="K85" s="38" t="s">
        <v>43</v>
      </c>
      <c r="L85" s="94" t="s">
        <v>13</v>
      </c>
      <c r="M85" s="95" t="s">
        <v>14</v>
      </c>
      <c r="N85" s="96" t="s">
        <v>42</v>
      </c>
      <c r="O85" s="97" t="s">
        <v>15</v>
      </c>
      <c r="P85" s="97" t="s">
        <v>16</v>
      </c>
      <c r="Q85" s="98" t="s">
        <v>43</v>
      </c>
      <c r="R85" s="141" t="s">
        <v>13</v>
      </c>
      <c r="S85" s="142" t="s">
        <v>14</v>
      </c>
      <c r="T85" s="143" t="s">
        <v>42</v>
      </c>
      <c r="U85" s="144" t="s">
        <v>15</v>
      </c>
      <c r="V85" s="144" t="s">
        <v>16</v>
      </c>
      <c r="W85" s="145" t="s">
        <v>43</v>
      </c>
    </row>
    <row r="86" spans="2:24" x14ac:dyDescent="0.55000000000000004">
      <c r="B86" s="2" t="s">
        <v>0</v>
      </c>
      <c r="C86" s="77">
        <v>161538</v>
      </c>
      <c r="D86" s="17">
        <f t="shared" ref="D86:D93" si="30">C86/$C$57</f>
        <v>0.32969764755346376</v>
      </c>
      <c r="E86" s="12">
        <v>8.8294580841659496</v>
      </c>
      <c r="F86" s="2">
        <v>0</v>
      </c>
      <c r="G86" s="11">
        <v>0</v>
      </c>
      <c r="H86" s="54">
        <f>F86*G86</f>
        <v>0</v>
      </c>
      <c r="I86" s="3">
        <f>C86</f>
        <v>161538</v>
      </c>
      <c r="J86" s="11">
        <f>E86</f>
        <v>8.8294580841659496</v>
      </c>
      <c r="K86" s="34">
        <f>I86*J86</f>
        <v>1426292.9999999991</v>
      </c>
      <c r="L86" s="153">
        <f>C86*$C$20</f>
        <v>32307.600000000002</v>
      </c>
      <c r="M86" s="28">
        <f>$C$19</f>
        <v>4.92</v>
      </c>
      <c r="N86" s="154">
        <f>L86*M86</f>
        <v>158953.39200000002</v>
      </c>
      <c r="O86" s="155">
        <f>C86*(1-$C$20)</f>
        <v>129230.40000000001</v>
      </c>
      <c r="P86" s="28">
        <f>E86</f>
        <v>8.8294580841659496</v>
      </c>
      <c r="Q86" s="156">
        <f>O86*P86</f>
        <v>1141034.3999999994</v>
      </c>
      <c r="R86" s="153">
        <f t="shared" ref="R86:R93" si="31">C86</f>
        <v>161538</v>
      </c>
      <c r="S86" s="28">
        <f>$C$18</f>
        <v>4.5</v>
      </c>
      <c r="T86" s="154">
        <f t="shared" ref="T86:T93" si="32">R86*S86</f>
        <v>726921</v>
      </c>
      <c r="U86" s="155"/>
      <c r="V86" s="152"/>
      <c r="W86" s="156">
        <f>U86*V86</f>
        <v>0</v>
      </c>
    </row>
    <row r="87" spans="2:24" x14ac:dyDescent="0.55000000000000004">
      <c r="B87" s="2" t="s">
        <v>8</v>
      </c>
      <c r="C87" s="77">
        <v>20756</v>
      </c>
      <c r="D87" s="17">
        <f t="shared" si="30"/>
        <v>4.2362814771878407E-2</v>
      </c>
      <c r="E87" s="12">
        <v>20.771963769512432</v>
      </c>
      <c r="F87" s="2">
        <v>0</v>
      </c>
      <c r="G87" s="11">
        <v>0</v>
      </c>
      <c r="H87" s="54">
        <f t="shared" ref="H87:H90" si="33">F87*G87</f>
        <v>0</v>
      </c>
      <c r="I87" s="3">
        <f>C87</f>
        <v>20756</v>
      </c>
      <c r="J87" s="11">
        <f>E87</f>
        <v>20.771963769512432</v>
      </c>
      <c r="K87" s="34">
        <f t="shared" ref="K87:K93" si="34">I87*J87</f>
        <v>431142.88000000006</v>
      </c>
      <c r="L87" s="20">
        <f>C87*$C$20</f>
        <v>4151.2</v>
      </c>
      <c r="M87" s="11">
        <f>$C$19</f>
        <v>4.92</v>
      </c>
      <c r="N87" s="54">
        <f t="shared" ref="N87:N93" si="35">L87*M87</f>
        <v>20423.903999999999</v>
      </c>
      <c r="O87" s="10">
        <f>C87*(1-$C$20)</f>
        <v>16604.8</v>
      </c>
      <c r="P87" s="11">
        <f>E87</f>
        <v>20.771963769512432</v>
      </c>
      <c r="Q87" s="34">
        <f t="shared" ref="Q87:Q93" si="36">O87*P87</f>
        <v>344914.304</v>
      </c>
      <c r="R87" s="20">
        <f t="shared" si="31"/>
        <v>20756</v>
      </c>
      <c r="S87" s="11">
        <f>$C$18</f>
        <v>4.5</v>
      </c>
      <c r="T87" s="54">
        <f t="shared" si="32"/>
        <v>93402</v>
      </c>
      <c r="U87" s="10"/>
      <c r="V87" s="11"/>
      <c r="W87" s="34">
        <f t="shared" ref="W87:W93" si="37">U87*V87</f>
        <v>0</v>
      </c>
    </row>
    <row r="88" spans="2:24" x14ac:dyDescent="0.55000000000000004">
      <c r="B88" s="2" t="s">
        <v>1</v>
      </c>
      <c r="C88" s="77">
        <v>143989</v>
      </c>
      <c r="D88" s="17">
        <f t="shared" si="30"/>
        <v>0.29388029178011177</v>
      </c>
      <c r="E88" s="12">
        <v>7.2518803519713311</v>
      </c>
      <c r="F88" s="2">
        <v>0</v>
      </c>
      <c r="G88" s="11">
        <v>0</v>
      </c>
      <c r="H88" s="54">
        <f t="shared" si="33"/>
        <v>0</v>
      </c>
      <c r="I88" s="3">
        <f>C88</f>
        <v>143989</v>
      </c>
      <c r="J88" s="11">
        <f>E88</f>
        <v>7.2518803519713311</v>
      </c>
      <c r="K88" s="34">
        <f t="shared" si="34"/>
        <v>1044191</v>
      </c>
      <c r="L88" s="153">
        <v>0</v>
      </c>
      <c r="M88" s="28">
        <v>0</v>
      </c>
      <c r="N88" s="154">
        <f t="shared" si="35"/>
        <v>0</v>
      </c>
      <c r="O88" s="155">
        <f>+C88</f>
        <v>143989</v>
      </c>
      <c r="P88" s="28">
        <f>$C$19</f>
        <v>4.92</v>
      </c>
      <c r="Q88" s="156">
        <f t="shared" si="36"/>
        <v>708425.88</v>
      </c>
      <c r="R88" s="153">
        <v>0</v>
      </c>
      <c r="S88" s="28">
        <v>0</v>
      </c>
      <c r="T88" s="154">
        <f t="shared" si="32"/>
        <v>0</v>
      </c>
      <c r="U88" s="155">
        <f>+C88</f>
        <v>143989</v>
      </c>
      <c r="V88" s="28">
        <f t="shared" ref="V88" si="38">$C$18</f>
        <v>4.5</v>
      </c>
      <c r="W88" s="156">
        <f t="shared" si="37"/>
        <v>647950.5</v>
      </c>
      <c r="X88" t="s">
        <v>73</v>
      </c>
    </row>
    <row r="89" spans="2:24" x14ac:dyDescent="0.55000000000000004">
      <c r="B89" s="2" t="s">
        <v>3</v>
      </c>
      <c r="C89" s="77">
        <v>60054</v>
      </c>
      <c r="D89" s="17">
        <f t="shared" si="30"/>
        <v>0.12256968964686769</v>
      </c>
      <c r="E89" s="12">
        <v>10.37752689246345</v>
      </c>
      <c r="F89" s="2">
        <v>0</v>
      </c>
      <c r="G89" s="11">
        <v>0</v>
      </c>
      <c r="H89" s="54">
        <f t="shared" si="33"/>
        <v>0</v>
      </c>
      <c r="I89" s="3">
        <f>C89</f>
        <v>60054</v>
      </c>
      <c r="J89" s="11">
        <f>E89</f>
        <v>10.37752689246345</v>
      </c>
      <c r="K89" s="34">
        <f t="shared" si="34"/>
        <v>623212</v>
      </c>
      <c r="L89" s="20">
        <f>C89*$C$20</f>
        <v>12010.800000000001</v>
      </c>
      <c r="M89" s="11">
        <f t="shared" ref="M89:M93" si="39">$C$19</f>
        <v>4.92</v>
      </c>
      <c r="N89" s="54">
        <f t="shared" si="35"/>
        <v>59093.136000000006</v>
      </c>
      <c r="O89" s="10">
        <f>C89*(1-$C$20)</f>
        <v>48043.200000000004</v>
      </c>
      <c r="P89" s="11">
        <f>E89</f>
        <v>10.37752689246345</v>
      </c>
      <c r="Q89" s="34">
        <f t="shared" si="36"/>
        <v>498569.60000000009</v>
      </c>
      <c r="R89" s="20">
        <f t="shared" si="31"/>
        <v>60054</v>
      </c>
      <c r="S89" s="11">
        <f t="shared" ref="S89:S93" si="40">$C$18</f>
        <v>4.5</v>
      </c>
      <c r="T89" s="54">
        <f t="shared" si="32"/>
        <v>270243</v>
      </c>
      <c r="U89" s="10"/>
      <c r="V89" s="11"/>
      <c r="W89" s="34">
        <f t="shared" si="37"/>
        <v>0</v>
      </c>
    </row>
    <row r="90" spans="2:24" x14ac:dyDescent="0.55000000000000004">
      <c r="B90" s="2" t="s">
        <v>9</v>
      </c>
      <c r="C90" s="77">
        <v>102141</v>
      </c>
      <c r="D90" s="17">
        <f t="shared" si="30"/>
        <v>0.20846888917009213</v>
      </c>
      <c r="E90" s="12">
        <v>5.3792110905512969</v>
      </c>
      <c r="F90" s="2">
        <v>0</v>
      </c>
      <c r="G90" s="11">
        <v>0</v>
      </c>
      <c r="H90" s="54">
        <f t="shared" si="33"/>
        <v>0</v>
      </c>
      <c r="I90" s="3">
        <f>C90</f>
        <v>102141</v>
      </c>
      <c r="J90" s="11">
        <f>E90</f>
        <v>5.3792110905512969</v>
      </c>
      <c r="K90" s="34">
        <f t="shared" si="34"/>
        <v>549438</v>
      </c>
      <c r="L90" s="2">
        <v>0</v>
      </c>
      <c r="M90" s="11">
        <v>0</v>
      </c>
      <c r="N90" s="54">
        <f t="shared" si="35"/>
        <v>0</v>
      </c>
      <c r="O90" s="10">
        <f>C90</f>
        <v>102141</v>
      </c>
      <c r="P90" s="11">
        <f>E90</f>
        <v>5.3792110905512969</v>
      </c>
      <c r="Q90" s="34">
        <f t="shared" si="36"/>
        <v>549438</v>
      </c>
      <c r="R90" s="20">
        <f t="shared" si="31"/>
        <v>102141</v>
      </c>
      <c r="S90" s="11">
        <f t="shared" si="40"/>
        <v>4.5</v>
      </c>
      <c r="T90" s="54">
        <f t="shared" si="32"/>
        <v>459634.5</v>
      </c>
      <c r="U90" s="3"/>
      <c r="V90" s="11"/>
      <c r="W90" s="34">
        <f t="shared" si="37"/>
        <v>0</v>
      </c>
      <c r="X90" t="s">
        <v>48</v>
      </c>
    </row>
    <row r="91" spans="2:24" x14ac:dyDescent="0.55000000000000004">
      <c r="B91" s="2" t="s">
        <v>10</v>
      </c>
      <c r="C91" s="77">
        <v>708</v>
      </c>
      <c r="D91" s="17">
        <f t="shared" si="30"/>
        <v>1.4450218181966618E-3</v>
      </c>
      <c r="E91" s="12">
        <v>11.016949152542374</v>
      </c>
      <c r="F91" s="2">
        <f>C91</f>
        <v>708</v>
      </c>
      <c r="G91" s="152">
        <f>$C$22</f>
        <v>7.25</v>
      </c>
      <c r="H91" s="54">
        <f>F91*G91</f>
        <v>5133</v>
      </c>
      <c r="I91" s="3">
        <v>0</v>
      </c>
      <c r="J91" s="11"/>
      <c r="K91" s="34">
        <f t="shared" si="34"/>
        <v>0</v>
      </c>
      <c r="L91" s="79">
        <f>C91</f>
        <v>708</v>
      </c>
      <c r="M91" s="11">
        <f t="shared" si="39"/>
        <v>4.92</v>
      </c>
      <c r="N91" s="54">
        <f t="shared" si="35"/>
        <v>3483.36</v>
      </c>
      <c r="O91" s="10">
        <v>0</v>
      </c>
      <c r="P91" s="11">
        <v>0</v>
      </c>
      <c r="Q91" s="34">
        <f t="shared" si="36"/>
        <v>0</v>
      </c>
      <c r="R91" s="20">
        <f t="shared" si="31"/>
        <v>708</v>
      </c>
      <c r="S91" s="11">
        <f t="shared" si="40"/>
        <v>4.5</v>
      </c>
      <c r="T91" s="54">
        <f t="shared" si="32"/>
        <v>3186</v>
      </c>
      <c r="U91" s="3"/>
      <c r="V91" s="11"/>
      <c r="W91" s="34">
        <f t="shared" si="37"/>
        <v>0</v>
      </c>
      <c r="X91" t="s">
        <v>49</v>
      </c>
    </row>
    <row r="92" spans="2:24" x14ac:dyDescent="0.55000000000000004">
      <c r="B92" s="2" t="s">
        <v>11</v>
      </c>
      <c r="C92" s="77">
        <v>241</v>
      </c>
      <c r="D92" s="17">
        <f t="shared" si="30"/>
        <v>4.9187889574208398E-4</v>
      </c>
      <c r="E92" s="12">
        <v>37.854771784232362</v>
      </c>
      <c r="F92" s="2">
        <f t="shared" ref="F92:F93" si="41">C92</f>
        <v>241</v>
      </c>
      <c r="G92" s="152">
        <f>$C$22</f>
        <v>7.25</v>
      </c>
      <c r="H92" s="54">
        <f t="shared" ref="H92:H93" si="42">F92*G92</f>
        <v>1747.25</v>
      </c>
      <c r="I92" s="3">
        <v>0</v>
      </c>
      <c r="J92" s="11"/>
      <c r="K92" s="34">
        <f t="shared" si="34"/>
        <v>0</v>
      </c>
      <c r="L92" s="79">
        <f>C92</f>
        <v>241</v>
      </c>
      <c r="M92" s="11">
        <f t="shared" si="39"/>
        <v>4.92</v>
      </c>
      <c r="N92" s="54">
        <f t="shared" si="35"/>
        <v>1185.72</v>
      </c>
      <c r="O92" s="10">
        <v>0</v>
      </c>
      <c r="P92" s="11">
        <v>0</v>
      </c>
      <c r="Q92" s="34">
        <f t="shared" si="36"/>
        <v>0</v>
      </c>
      <c r="R92" s="20">
        <f t="shared" si="31"/>
        <v>241</v>
      </c>
      <c r="S92" s="11">
        <f t="shared" si="40"/>
        <v>4.5</v>
      </c>
      <c r="T92" s="54">
        <f t="shared" si="32"/>
        <v>1084.5</v>
      </c>
      <c r="U92" s="3"/>
      <c r="V92" s="11"/>
      <c r="W92" s="34">
        <f t="shared" si="37"/>
        <v>0</v>
      </c>
      <c r="X92" t="s">
        <v>49</v>
      </c>
    </row>
    <row r="93" spans="2:24" ht="14.7" thickBot="1" x14ac:dyDescent="0.6">
      <c r="B93" s="2" t="s">
        <v>12</v>
      </c>
      <c r="C93" s="77">
        <v>531</v>
      </c>
      <c r="D93" s="17">
        <f t="shared" si="30"/>
        <v>1.0837663636474963E-3</v>
      </c>
      <c r="E93" s="12">
        <v>10.734463276836157</v>
      </c>
      <c r="F93" s="2">
        <f t="shared" si="41"/>
        <v>531</v>
      </c>
      <c r="G93" s="152">
        <f>$C$22</f>
        <v>7.25</v>
      </c>
      <c r="H93" s="54">
        <f t="shared" si="42"/>
        <v>3849.75</v>
      </c>
      <c r="I93" s="3">
        <v>0</v>
      </c>
      <c r="J93" s="11"/>
      <c r="K93" s="34">
        <f t="shared" si="34"/>
        <v>0</v>
      </c>
      <c r="L93" s="79">
        <f>C93</f>
        <v>531</v>
      </c>
      <c r="M93" s="11">
        <f t="shared" si="39"/>
        <v>4.92</v>
      </c>
      <c r="N93" s="54">
        <f t="shared" si="35"/>
        <v>2612.52</v>
      </c>
      <c r="O93" s="10">
        <v>0</v>
      </c>
      <c r="P93" s="11">
        <v>0</v>
      </c>
      <c r="Q93" s="34">
        <f t="shared" si="36"/>
        <v>0</v>
      </c>
      <c r="R93" s="20">
        <f t="shared" si="31"/>
        <v>531</v>
      </c>
      <c r="S93" s="11">
        <f t="shared" si="40"/>
        <v>4.5</v>
      </c>
      <c r="T93" s="54">
        <f t="shared" si="32"/>
        <v>2389.5</v>
      </c>
      <c r="U93" s="3"/>
      <c r="V93" s="11"/>
      <c r="W93" s="34">
        <f t="shared" si="37"/>
        <v>0</v>
      </c>
      <c r="X93" t="s">
        <v>49</v>
      </c>
    </row>
    <row r="94" spans="2:24" ht="14.7" thickBot="1" x14ac:dyDescent="0.6">
      <c r="B94" s="99" t="s">
        <v>2</v>
      </c>
      <c r="C94" s="100">
        <f>SUM(C86:C93)</f>
        <v>489958</v>
      </c>
      <c r="D94" s="101">
        <f>SUM(D86:D93)</f>
        <v>0.99999999999999989</v>
      </c>
      <c r="E94" s="102">
        <f>+((C86*E86)+(C87*E87)+(C88*E88)+(C89*E89)+(C90*E90)+(C91*E91)+(C92*E92)+(C93*E93))/C94</f>
        <v>8.3617368835696091</v>
      </c>
      <c r="F94" s="103">
        <f>SUM(F86:F93)</f>
        <v>1480</v>
      </c>
      <c r="G94" s="104"/>
      <c r="H94" s="105">
        <f>SUM(H86:H93)</f>
        <v>10730</v>
      </c>
      <c r="I94" s="104">
        <f>SUM(I86:I90)</f>
        <v>488478</v>
      </c>
      <c r="J94" s="104"/>
      <c r="K94" s="106">
        <f>SUM(K86:K93)</f>
        <v>4074276.879999999</v>
      </c>
      <c r="L94" s="43">
        <f>SUM(L86:L93)</f>
        <v>49949.600000000006</v>
      </c>
      <c r="M94" s="39"/>
      <c r="N94" s="55">
        <f>SUM(N86:N93)</f>
        <v>245752.03200000001</v>
      </c>
      <c r="O94" s="41">
        <f>SUM(O86:O93)</f>
        <v>440008.4</v>
      </c>
      <c r="P94" s="42"/>
      <c r="Q94" s="40">
        <f>SUM(Q86:Q93)</f>
        <v>3242382.1839999994</v>
      </c>
      <c r="R94" s="146">
        <f>SUM(R86:R93)</f>
        <v>345969</v>
      </c>
      <c r="S94" s="135"/>
      <c r="T94" s="136">
        <f>SUM(T86:T93)</f>
        <v>1556860.5</v>
      </c>
      <c r="U94" s="137">
        <f>SUM(U86:U93)</f>
        <v>143989</v>
      </c>
      <c r="V94" s="135"/>
      <c r="W94" s="138">
        <f>SUM(W86:W93)</f>
        <v>647950.5</v>
      </c>
    </row>
    <row r="95" spans="2:24" x14ac:dyDescent="0.55000000000000004">
      <c r="E95" s="78"/>
      <c r="G95" s="18"/>
    </row>
    <row r="96" spans="2:24" x14ac:dyDescent="0.55000000000000004">
      <c r="F96" s="22" t="s">
        <v>44</v>
      </c>
      <c r="G96" s="22"/>
      <c r="H96" s="22"/>
      <c r="I96" s="22"/>
      <c r="J96" s="7"/>
      <c r="K96" s="7"/>
      <c r="L96" s="139" t="s">
        <v>45</v>
      </c>
      <c r="M96" s="139"/>
      <c r="N96" s="139"/>
      <c r="O96" s="139"/>
      <c r="P96" s="139"/>
      <c r="Q96" s="7"/>
      <c r="R96" s="147" t="s">
        <v>46</v>
      </c>
      <c r="S96" s="147"/>
      <c r="T96" s="148"/>
      <c r="U96" s="148"/>
    </row>
    <row r="97" spans="6:21" x14ac:dyDescent="0.55000000000000004">
      <c r="F97" s="14">
        <f>(H94+K94)/(F94+I94)</f>
        <v>8.3374633744116817</v>
      </c>
      <c r="G97" s="14"/>
      <c r="H97" s="14"/>
      <c r="I97" s="14"/>
      <c r="J97" s="13"/>
      <c r="K97" s="13"/>
      <c r="L97" s="140">
        <f>(N94+Q94)/(L94+O94)</f>
        <v>7.1192514786981729</v>
      </c>
      <c r="M97" s="140"/>
      <c r="N97" s="140"/>
      <c r="O97" s="140"/>
      <c r="P97" s="140"/>
      <c r="Q97" s="13"/>
      <c r="R97" s="149">
        <f>(T94+W94)/(R94+U94)</f>
        <v>4.5</v>
      </c>
      <c r="S97" s="148"/>
      <c r="T97" s="148"/>
      <c r="U97" s="148"/>
    </row>
    <row r="102" spans="6:21" x14ac:dyDescent="0.55000000000000004">
      <c r="L102" s="16"/>
    </row>
  </sheetData>
  <mergeCells count="8">
    <mergeCell ref="C84:D84"/>
    <mergeCell ref="F84:K84"/>
    <mergeCell ref="L84:Q84"/>
    <mergeCell ref="R84:W84"/>
    <mergeCell ref="C47:D47"/>
    <mergeCell ref="F47:K47"/>
    <mergeCell ref="L47:Q47"/>
    <mergeCell ref="R47:W4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SIS Models CUA</vt:lpstr>
    </vt:vector>
  </TitlesOfParts>
  <Company>Columbia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Columbia University</dc:creator>
  <cp:lastModifiedBy>Fiona Hollands</cp:lastModifiedBy>
  <cp:lastPrinted>2018-12-05T23:59:10Z</cp:lastPrinted>
  <dcterms:created xsi:type="dcterms:W3CDTF">2017-11-20T22:30:25Z</dcterms:created>
  <dcterms:modified xsi:type="dcterms:W3CDTF">2022-12-05T18:26:13Z</dcterms:modified>
</cp:coreProperties>
</file>